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73D7AD7F-D6AA-4243-B0E6-E93438466B5C}" xr6:coauthVersionLast="36" xr6:coauthVersionMax="36" xr10:uidLastSave="{00000000-0000-0000-0000-000000000000}"/>
  <bookViews>
    <workbookView xWindow="0" yWindow="0" windowWidth="19200" windowHeight="6930" activeTab="3" xr2:uid="{00000000-000D-0000-FFFF-FFFF00000000}"/>
  </bookViews>
  <sheets>
    <sheet name="1. Souhrn" sheetId="11" r:id="rId1"/>
    <sheet name="2. Náklady" sheetId="12" r:id="rId2"/>
    <sheet name="3. Zdroje" sheetId="15" r:id="rId3"/>
    <sheet name="4. Seznam dokladů" sheetId="14" r:id="rId4"/>
    <sheet name="5. Data" sheetId="7" state="hidden" r:id="rId5"/>
  </sheets>
  <definedNames>
    <definedName name="_xlnm.Print_Titles" localSheetId="1">'2. Náklady'!$87:$87</definedName>
    <definedName name="_xlnm.Print_Area" localSheetId="0">'1. Souhrn'!$A$1:$H$26</definedName>
    <definedName name="_xlnm.Print_Area" localSheetId="1">'2. Náklady'!$A$1:$K$101</definedName>
    <definedName name="_xlnm.Print_Area" localSheetId="2">'3. Zdroje'!$A$1:$J$28</definedName>
  </definedNames>
  <calcPr calcId="191029"/>
</workbook>
</file>

<file path=xl/calcChain.xml><?xml version="1.0" encoding="utf-8"?>
<calcChain xmlns="http://schemas.openxmlformats.org/spreadsheetml/2006/main">
  <c r="H17" i="14" l="1"/>
  <c r="H4" i="14"/>
  <c r="H14" i="12"/>
  <c r="H12" i="12"/>
  <c r="H10" i="12"/>
  <c r="H8" i="12"/>
  <c r="D14" i="12"/>
  <c r="D12" i="12"/>
  <c r="D10" i="12"/>
  <c r="D8" i="12"/>
  <c r="H5" i="12"/>
  <c r="D5" i="12"/>
  <c r="G26" i="14"/>
  <c r="G24" i="14"/>
  <c r="G22" i="14"/>
  <c r="G20" i="14"/>
  <c r="F17" i="14"/>
  <c r="G13" i="14"/>
  <c r="G11" i="14"/>
  <c r="G9" i="14"/>
  <c r="G7" i="14"/>
  <c r="F4" i="14"/>
  <c r="H26" i="14" l="1"/>
  <c r="H24" i="11" s="1"/>
  <c r="H24" i="14"/>
  <c r="H22" i="11" s="1"/>
  <c r="H22" i="14"/>
  <c r="H20" i="11" s="1"/>
  <c r="H20" i="14"/>
  <c r="H18" i="11" s="1"/>
  <c r="G17" i="14"/>
  <c r="H13" i="14"/>
  <c r="H11" i="14"/>
  <c r="H9" i="14"/>
  <c r="H7" i="14"/>
  <c r="E18" i="11" s="1"/>
  <c r="G4" i="14"/>
  <c r="A96" i="12" l="1"/>
  <c r="A97" i="12"/>
  <c r="A98" i="12"/>
  <c r="A99" i="12"/>
  <c r="A100" i="12"/>
  <c r="A101" i="12"/>
  <c r="A95" i="12"/>
  <c r="A89" i="12"/>
  <c r="A90" i="12"/>
  <c r="A91" i="12"/>
  <c r="A92" i="12"/>
  <c r="A93" i="12"/>
  <c r="A88" i="12"/>
  <c r="A82" i="12"/>
  <c r="A83" i="12"/>
  <c r="A84" i="12"/>
  <c r="A85" i="12"/>
  <c r="A86" i="12"/>
  <c r="A81" i="12"/>
  <c r="A73" i="12"/>
  <c r="A74" i="12"/>
  <c r="A75" i="12"/>
  <c r="A76" i="12"/>
  <c r="A77" i="12"/>
  <c r="A78" i="12"/>
  <c r="A79" i="12"/>
  <c r="A72" i="12"/>
  <c r="A69" i="12"/>
  <c r="A58" i="12"/>
  <c r="A48" i="12"/>
  <c r="A49" i="12"/>
  <c r="A50" i="12"/>
  <c r="A51" i="12"/>
  <c r="A52" i="12"/>
  <c r="A53" i="12"/>
  <c r="A54" i="12"/>
  <c r="A55" i="12"/>
  <c r="A56" i="12"/>
  <c r="A47" i="12"/>
  <c r="A37" i="12"/>
  <c r="A38" i="12"/>
  <c r="A39" i="12"/>
  <c r="A40" i="12"/>
  <c r="A41" i="12"/>
  <c r="A42" i="12"/>
  <c r="A43" i="12"/>
  <c r="A44" i="12"/>
  <c r="A45" i="12"/>
  <c r="A36" i="12"/>
  <c r="A25" i="12"/>
  <c r="A64" i="12"/>
  <c r="A65" i="12"/>
  <c r="A66" i="12"/>
  <c r="A67" i="12"/>
  <c r="A68" i="12"/>
  <c r="A70" i="12"/>
  <c r="A63" i="12"/>
  <c r="A59" i="12"/>
  <c r="A60" i="12"/>
  <c r="A61" i="12"/>
  <c r="A33" i="12"/>
  <c r="A26" i="12"/>
  <c r="A27" i="12"/>
  <c r="A28" i="12"/>
  <c r="A29" i="12"/>
  <c r="A30" i="12"/>
  <c r="A31" i="12"/>
  <c r="A32" i="12"/>
  <c r="A30" i="14"/>
  <c r="I22" i="15" l="1"/>
  <c r="F22" i="15"/>
  <c r="J101" i="12" l="1"/>
  <c r="J100" i="12"/>
  <c r="J99" i="12"/>
  <c r="J98" i="12"/>
  <c r="J97" i="12"/>
  <c r="J96" i="12"/>
  <c r="J95" i="12"/>
  <c r="I94" i="12"/>
  <c r="H94" i="12"/>
  <c r="J93" i="12"/>
  <c r="J92" i="12"/>
  <c r="J91" i="12"/>
  <c r="J90" i="12"/>
  <c r="J89" i="12"/>
  <c r="J88" i="12"/>
  <c r="K87" i="12"/>
  <c r="H87" i="12"/>
  <c r="J86" i="12"/>
  <c r="J85" i="12"/>
  <c r="J84" i="12"/>
  <c r="J83" i="12"/>
  <c r="J82" i="12"/>
  <c r="J81" i="12"/>
  <c r="K80" i="12"/>
  <c r="I80" i="12"/>
  <c r="H80" i="12"/>
  <c r="J79" i="12"/>
  <c r="J78" i="12"/>
  <c r="J77" i="12"/>
  <c r="J76" i="12"/>
  <c r="J75" i="12"/>
  <c r="J74" i="12"/>
  <c r="J73" i="12"/>
  <c r="J72" i="12"/>
  <c r="K71" i="12"/>
  <c r="I71" i="12"/>
  <c r="H71" i="12"/>
  <c r="J70" i="12"/>
  <c r="J69" i="12"/>
  <c r="J68" i="12"/>
  <c r="J67" i="12"/>
  <c r="J66" i="12"/>
  <c r="J65" i="12"/>
  <c r="J64" i="12"/>
  <c r="J63" i="12"/>
  <c r="K62" i="12"/>
  <c r="I62" i="12"/>
  <c r="H62" i="12"/>
  <c r="J61" i="12"/>
  <c r="J60" i="12"/>
  <c r="J59" i="12"/>
  <c r="J58" i="12"/>
  <c r="K57" i="12"/>
  <c r="I57" i="12"/>
  <c r="H57" i="12"/>
  <c r="J56" i="12"/>
  <c r="J55" i="12"/>
  <c r="J54" i="12"/>
  <c r="J53" i="12"/>
  <c r="J52" i="12"/>
  <c r="J51" i="12"/>
  <c r="J50" i="12"/>
  <c r="J49" i="12"/>
  <c r="J48" i="12"/>
  <c r="J47" i="12"/>
  <c r="K46" i="12"/>
  <c r="I46" i="12"/>
  <c r="H46" i="12"/>
  <c r="J45" i="12"/>
  <c r="J44" i="12"/>
  <c r="J43" i="12"/>
  <c r="J42" i="12"/>
  <c r="J41" i="12"/>
  <c r="J40" i="12"/>
  <c r="J39" i="12"/>
  <c r="J38" i="12"/>
  <c r="J37" i="12"/>
  <c r="J36" i="12"/>
  <c r="K35" i="12"/>
  <c r="I35" i="12"/>
  <c r="H35" i="12"/>
  <c r="J25" i="12"/>
  <c r="K24" i="12"/>
  <c r="J33" i="12"/>
  <c r="J32" i="12"/>
  <c r="J31" i="12"/>
  <c r="J30" i="12"/>
  <c r="J29" i="12"/>
  <c r="J28" i="12"/>
  <c r="J27" i="12"/>
  <c r="J26" i="12"/>
  <c r="I24" i="12"/>
  <c r="H24" i="12"/>
  <c r="I27" i="15"/>
  <c r="F27" i="15"/>
  <c r="J46" i="12" l="1"/>
  <c r="J35" i="12"/>
  <c r="H34" i="12"/>
  <c r="J94" i="12"/>
  <c r="K34" i="12"/>
  <c r="J5" i="12" s="1"/>
  <c r="I34" i="12"/>
  <c r="J57" i="12"/>
  <c r="J87" i="12"/>
  <c r="J24" i="12"/>
  <c r="J80" i="12"/>
  <c r="J71" i="12"/>
  <c r="J62" i="12"/>
  <c r="G87" i="12"/>
  <c r="F14" i="12" s="1"/>
  <c r="G80" i="12"/>
  <c r="G71" i="12"/>
  <c r="G62" i="12"/>
  <c r="G46" i="12"/>
  <c r="G57" i="12"/>
  <c r="G35" i="12"/>
  <c r="G24" i="12"/>
  <c r="J34" i="12" l="1"/>
  <c r="G34" i="12"/>
  <c r="F5" i="12" s="1"/>
  <c r="E24" i="12"/>
  <c r="D24" i="12"/>
  <c r="H18" i="12" l="1"/>
  <c r="F90" i="12"/>
  <c r="F91" i="12"/>
  <c r="F92" i="12"/>
  <c r="F93" i="12"/>
  <c r="F89" i="12"/>
  <c r="F88" i="12"/>
  <c r="F100" i="12"/>
  <c r="D24" i="11"/>
  <c r="F12" i="12"/>
  <c r="D22" i="11" s="1"/>
  <c r="F10" i="12"/>
  <c r="D20" i="11" s="1"/>
  <c r="F8" i="12"/>
  <c r="D18" i="11" l="1"/>
  <c r="C30" i="11" s="1"/>
  <c r="C31" i="11" s="1"/>
  <c r="F87" i="12"/>
  <c r="L14" i="12"/>
  <c r="L12" i="12"/>
  <c r="L10" i="12"/>
  <c r="I20" i="14"/>
  <c r="I8" i="14"/>
  <c r="H19" i="12"/>
  <c r="H20" i="12" s="1"/>
  <c r="F32" i="11" s="1"/>
  <c r="I26" i="15"/>
  <c r="I25" i="15"/>
  <c r="I24" i="15"/>
  <c r="I23" i="15"/>
  <c r="I21" i="15"/>
  <c r="I20" i="15"/>
  <c r="I19" i="15"/>
  <c r="I18" i="15"/>
  <c r="I17" i="15"/>
  <c r="H16" i="15"/>
  <c r="G16" i="15"/>
  <c r="I14" i="15"/>
  <c r="I13" i="15"/>
  <c r="I12" i="15"/>
  <c r="I11" i="15"/>
  <c r="I10" i="15"/>
  <c r="I9" i="15"/>
  <c r="I8" i="15"/>
  <c r="I7" i="15" s="1"/>
  <c r="H7" i="15"/>
  <c r="H4" i="15" s="1"/>
  <c r="G7" i="15"/>
  <c r="G4" i="15" s="1"/>
  <c r="I6" i="15"/>
  <c r="I5" i="15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I16" i="15" l="1"/>
  <c r="G28" i="15" s="1"/>
  <c r="F33" i="11" s="1"/>
  <c r="F34" i="11" s="1"/>
  <c r="I10" i="14"/>
  <c r="L11" i="12"/>
  <c r="I14" i="14"/>
  <c r="L15" i="12"/>
  <c r="I12" i="14"/>
  <c r="L13" i="12"/>
  <c r="I4" i="15"/>
  <c r="I26" i="14"/>
  <c r="J30" i="14" l="1"/>
  <c r="M30" i="14" s="1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M89" i="14" l="1"/>
  <c r="M77" i="14"/>
  <c r="M65" i="14"/>
  <c r="M53" i="14"/>
  <c r="M41" i="14"/>
  <c r="M88" i="14"/>
  <c r="M87" i="14"/>
  <c r="M75" i="14"/>
  <c r="M63" i="14"/>
  <c r="M51" i="14"/>
  <c r="M39" i="14"/>
  <c r="M86" i="14"/>
  <c r="M74" i="14"/>
  <c r="M62" i="14"/>
  <c r="M50" i="14"/>
  <c r="M38" i="14"/>
  <c r="M76" i="14"/>
  <c r="M85" i="14"/>
  <c r="M73" i="14"/>
  <c r="M61" i="14"/>
  <c r="M49" i="14"/>
  <c r="M37" i="14"/>
  <c r="M64" i="14"/>
  <c r="M84" i="14"/>
  <c r="M72" i="14"/>
  <c r="M60" i="14"/>
  <c r="M48" i="14"/>
  <c r="M36" i="14"/>
  <c r="M40" i="14"/>
  <c r="M83" i="14"/>
  <c r="M71" i="14"/>
  <c r="M59" i="14"/>
  <c r="M47" i="14"/>
  <c r="M35" i="14"/>
  <c r="M52" i="14"/>
  <c r="M82" i="14"/>
  <c r="M70" i="14"/>
  <c r="M58" i="14"/>
  <c r="M46" i="14"/>
  <c r="M34" i="14"/>
  <c r="M93" i="14"/>
  <c r="M81" i="14"/>
  <c r="M69" i="14"/>
  <c r="M57" i="14"/>
  <c r="M45" i="14"/>
  <c r="M33" i="14"/>
  <c r="M92" i="14"/>
  <c r="M80" i="14"/>
  <c r="M68" i="14"/>
  <c r="M56" i="14"/>
  <c r="M44" i="14"/>
  <c r="M32" i="14"/>
  <c r="M91" i="14"/>
  <c r="M79" i="14"/>
  <c r="M67" i="14"/>
  <c r="M55" i="14"/>
  <c r="M43" i="14"/>
  <c r="M31" i="14"/>
  <c r="M90" i="14"/>
  <c r="M78" i="14"/>
  <c r="M66" i="14"/>
  <c r="M54" i="14"/>
  <c r="M42" i="14"/>
  <c r="I7" i="14" l="1"/>
  <c r="D87" i="12"/>
  <c r="I9" i="14" l="1"/>
  <c r="I11" i="14"/>
  <c r="I13" i="14"/>
  <c r="E20" i="11"/>
  <c r="I21" i="11" s="1"/>
  <c r="E24" i="11"/>
  <c r="E22" i="11"/>
  <c r="J14" i="12"/>
  <c r="J12" i="12"/>
  <c r="F44" i="12"/>
  <c r="L44" i="12" s="1"/>
  <c r="F26" i="15"/>
  <c r="F25" i="15"/>
  <c r="F24" i="15"/>
  <c r="F23" i="15"/>
  <c r="F21" i="15"/>
  <c r="F20" i="15"/>
  <c r="F19" i="15"/>
  <c r="F18" i="15"/>
  <c r="F17" i="15"/>
  <c r="E16" i="15"/>
  <c r="D16" i="15"/>
  <c r="F14" i="15"/>
  <c r="F13" i="15"/>
  <c r="F12" i="15"/>
  <c r="F11" i="15"/>
  <c r="F10" i="15"/>
  <c r="F9" i="15"/>
  <c r="F8" i="15"/>
  <c r="F7" i="15" s="1"/>
  <c r="E7" i="15"/>
  <c r="E4" i="15" s="1"/>
  <c r="D7" i="15"/>
  <c r="D4" i="15" s="1"/>
  <c r="F6" i="15"/>
  <c r="F5" i="15"/>
  <c r="F101" i="12"/>
  <c r="F99" i="12"/>
  <c r="F98" i="12"/>
  <c r="F97" i="12"/>
  <c r="F96" i="12"/>
  <c r="F95" i="12"/>
  <c r="E94" i="12"/>
  <c r="D94" i="12"/>
  <c r="F86" i="12"/>
  <c r="L86" i="12" s="1"/>
  <c r="F85" i="12"/>
  <c r="L85" i="12" s="1"/>
  <c r="F84" i="12"/>
  <c r="L84" i="12" s="1"/>
  <c r="F83" i="12"/>
  <c r="L83" i="12" s="1"/>
  <c r="F82" i="12"/>
  <c r="L82" i="12" s="1"/>
  <c r="F81" i="12"/>
  <c r="L81" i="12" s="1"/>
  <c r="E80" i="12"/>
  <c r="D80" i="12"/>
  <c r="F79" i="12"/>
  <c r="L79" i="12" s="1"/>
  <c r="F78" i="12"/>
  <c r="L78" i="12" s="1"/>
  <c r="F77" i="12"/>
  <c r="L77" i="12" s="1"/>
  <c r="F76" i="12"/>
  <c r="L76" i="12" s="1"/>
  <c r="F75" i="12"/>
  <c r="L75" i="12" s="1"/>
  <c r="F74" i="12"/>
  <c r="L74" i="12" s="1"/>
  <c r="F73" i="12"/>
  <c r="L73" i="12" s="1"/>
  <c r="F72" i="12"/>
  <c r="L72" i="12" s="1"/>
  <c r="E71" i="12"/>
  <c r="D71" i="12"/>
  <c r="F70" i="12"/>
  <c r="L70" i="12" s="1"/>
  <c r="F69" i="12"/>
  <c r="L69" i="12" s="1"/>
  <c r="F68" i="12"/>
  <c r="L68" i="12" s="1"/>
  <c r="F67" i="12"/>
  <c r="L67" i="12" s="1"/>
  <c r="F66" i="12"/>
  <c r="L66" i="12" s="1"/>
  <c r="F65" i="12"/>
  <c r="L65" i="12" s="1"/>
  <c r="F64" i="12"/>
  <c r="L64" i="12" s="1"/>
  <c r="F63" i="12"/>
  <c r="L63" i="12" s="1"/>
  <c r="E62" i="12"/>
  <c r="D62" i="12"/>
  <c r="F61" i="12"/>
  <c r="L61" i="12" s="1"/>
  <c r="F60" i="12"/>
  <c r="L60" i="12" s="1"/>
  <c r="F59" i="12"/>
  <c r="L59" i="12" s="1"/>
  <c r="F58" i="12"/>
  <c r="L58" i="12" s="1"/>
  <c r="E57" i="12"/>
  <c r="D57" i="12"/>
  <c r="F56" i="12"/>
  <c r="L56" i="12" s="1"/>
  <c r="F55" i="12"/>
  <c r="L55" i="12" s="1"/>
  <c r="F54" i="12"/>
  <c r="L54" i="12" s="1"/>
  <c r="F53" i="12"/>
  <c r="L53" i="12" s="1"/>
  <c r="F52" i="12"/>
  <c r="L52" i="12" s="1"/>
  <c r="F51" i="12"/>
  <c r="L51" i="12" s="1"/>
  <c r="F50" i="12"/>
  <c r="L50" i="12" s="1"/>
  <c r="F49" i="12"/>
  <c r="L49" i="12" s="1"/>
  <c r="F48" i="12"/>
  <c r="L48" i="12" s="1"/>
  <c r="F47" i="12"/>
  <c r="L47" i="12" s="1"/>
  <c r="E46" i="12"/>
  <c r="D46" i="12"/>
  <c r="F45" i="12"/>
  <c r="L45" i="12" s="1"/>
  <c r="F43" i="12"/>
  <c r="L43" i="12" s="1"/>
  <c r="F42" i="12"/>
  <c r="L42" i="12" s="1"/>
  <c r="F41" i="12"/>
  <c r="L41" i="12" s="1"/>
  <c r="F40" i="12"/>
  <c r="L40" i="12" s="1"/>
  <c r="F39" i="12"/>
  <c r="L39" i="12" s="1"/>
  <c r="F38" i="12"/>
  <c r="L38" i="12" s="1"/>
  <c r="F37" i="12"/>
  <c r="L37" i="12" s="1"/>
  <c r="F36" i="12"/>
  <c r="L36" i="12" s="1"/>
  <c r="E35" i="12"/>
  <c r="D35" i="12"/>
  <c r="F33" i="12"/>
  <c r="L33" i="12" s="1"/>
  <c r="F32" i="12"/>
  <c r="L32" i="12" s="1"/>
  <c r="F31" i="12"/>
  <c r="L31" i="12" s="1"/>
  <c r="F30" i="12"/>
  <c r="L30" i="12" s="1"/>
  <c r="F29" i="12"/>
  <c r="L29" i="12" s="1"/>
  <c r="F28" i="12"/>
  <c r="L28" i="12" s="1"/>
  <c r="F27" i="12"/>
  <c r="L27" i="12" s="1"/>
  <c r="F26" i="12"/>
  <c r="L26" i="12" s="1"/>
  <c r="F25" i="12"/>
  <c r="L25" i="12" s="1"/>
  <c r="F16" i="15" l="1"/>
  <c r="I27" i="14"/>
  <c r="G24" i="11"/>
  <c r="I25" i="14"/>
  <c r="G22" i="11"/>
  <c r="F24" i="12"/>
  <c r="L24" i="12" s="1"/>
  <c r="I23" i="11"/>
  <c r="I22" i="11"/>
  <c r="I25" i="11"/>
  <c r="I24" i="11"/>
  <c r="I19" i="11"/>
  <c r="I18" i="11"/>
  <c r="J8" i="12"/>
  <c r="G18" i="11" s="1"/>
  <c r="E34" i="12"/>
  <c r="D34" i="12"/>
  <c r="D18" i="12" s="1"/>
  <c r="J10" i="12"/>
  <c r="F4" i="15"/>
  <c r="F35" i="12"/>
  <c r="L35" i="12" s="1"/>
  <c r="F62" i="12"/>
  <c r="L62" i="12" s="1"/>
  <c r="F57" i="12"/>
  <c r="L57" i="12" s="1"/>
  <c r="F46" i="12"/>
  <c r="L46" i="12" s="1"/>
  <c r="F94" i="12"/>
  <c r="F80" i="12"/>
  <c r="L80" i="12" s="1"/>
  <c r="F71" i="12"/>
  <c r="L71" i="12" s="1"/>
  <c r="D28" i="15" l="1"/>
  <c r="C33" i="11" s="1"/>
  <c r="J24" i="11"/>
  <c r="J25" i="11"/>
  <c r="J23" i="11"/>
  <c r="J22" i="11"/>
  <c r="I23" i="14"/>
  <c r="G20" i="11"/>
  <c r="J18" i="11"/>
  <c r="J19" i="11"/>
  <c r="F30" i="11"/>
  <c r="F31" i="11" s="1"/>
  <c r="F35" i="11" s="1"/>
  <c r="L9" i="12"/>
  <c r="L8" i="12"/>
  <c r="F34" i="12"/>
  <c r="L34" i="12" s="1"/>
  <c r="D19" i="12"/>
  <c r="D20" i="12" s="1"/>
  <c r="C32" i="11" s="1"/>
  <c r="I21" i="14"/>
  <c r="C34" i="11" l="1"/>
  <c r="C35" i="11" s="1"/>
  <c r="C36" i="11" s="1"/>
  <c r="C39" i="11" s="1"/>
  <c r="J21" i="11"/>
  <c r="J20" i="11"/>
  <c r="I24" i="14"/>
  <c r="I22" i="14" l="1"/>
  <c r="I20" i="11"/>
</calcChain>
</file>

<file path=xl/sharedStrings.xml><?xml version="1.0" encoding="utf-8"?>
<sst xmlns="http://schemas.openxmlformats.org/spreadsheetml/2006/main" count="570" uniqueCount="327">
  <si>
    <t>Další zdroje</t>
  </si>
  <si>
    <t xml:space="preserve">smlouva </t>
  </si>
  <si>
    <t>faktura</t>
  </si>
  <si>
    <t>paragon (účtenka)</t>
  </si>
  <si>
    <t>- VYBERTE ZE SEZNAMU -</t>
  </si>
  <si>
    <t>1. Projekty kreativního učení realizované ve školách</t>
  </si>
  <si>
    <t xml:space="preserve">2. Projekty kreativního učení realizované v kulturních institucích </t>
  </si>
  <si>
    <t>3. Spolupráce kulturních institucí a škol</t>
  </si>
  <si>
    <t>4. Vzdělávací aktivity pro pedagogy a pracovníky kulturního a kreativního sektoru</t>
  </si>
  <si>
    <t>5. Jiný projekt z oblasti kreativního učení</t>
  </si>
  <si>
    <t>DPH</t>
  </si>
  <si>
    <t>Žadatel</t>
  </si>
  <si>
    <t>Název projektu</t>
  </si>
  <si>
    <t>Registrační číslo projektu</t>
  </si>
  <si>
    <t>Tematický okruh</t>
  </si>
  <si>
    <t>Z dotace nelze hradit DPH. Dotaci lze poskytnout až do 100 % uznatelných nákladů (tzn. uznatelné náklady jsou bez DPH).</t>
  </si>
  <si>
    <t>NEZPŮSOBILÉ NÁKLADY: DPH, občerstvení, pohonné hmoty (mimo PHM v rámci cestovného), věcná nebo finanční ocenění, právní služby, zpracování projektu; aktivity, které neodpovídají zaměření programu a podmínkám příslušné výzvy; běžné provozní výdaje žadatele nesouvisející s projektem.</t>
  </si>
  <si>
    <t>NÁKLADY</t>
  </si>
  <si>
    <t>v Kč</t>
  </si>
  <si>
    <t>Bez DPH</t>
  </si>
  <si>
    <t>Celkem</t>
  </si>
  <si>
    <t>Komentář</t>
  </si>
  <si>
    <t>I.</t>
  </si>
  <si>
    <t>II.</t>
  </si>
  <si>
    <t>2.</t>
  </si>
  <si>
    <t>Náklady na realizaci projektu</t>
  </si>
  <si>
    <t>nájem prostor v místě trvalého působení</t>
  </si>
  <si>
    <t>nájem prostor</t>
  </si>
  <si>
    <t>nájem techniky</t>
  </si>
  <si>
    <t>doprava</t>
  </si>
  <si>
    <t>spotřeba materiálu</t>
  </si>
  <si>
    <t>nákupy drobného majetku</t>
  </si>
  <si>
    <t>3.</t>
  </si>
  <si>
    <t>Produkce a technické zajištění</t>
  </si>
  <si>
    <t>produkce</t>
  </si>
  <si>
    <t>pořadatelská služba</t>
  </si>
  <si>
    <t>ostraha</t>
  </si>
  <si>
    <t>osvětlení</t>
  </si>
  <si>
    <t>ozvučení</t>
  </si>
  <si>
    <t>další (specifikujte)</t>
  </si>
  <si>
    <t>4.</t>
  </si>
  <si>
    <t>5.</t>
  </si>
  <si>
    <t>Cestovné</t>
  </si>
  <si>
    <t>ubytování</t>
  </si>
  <si>
    <t>diety</t>
  </si>
  <si>
    <t>jízdné / letenky</t>
  </si>
  <si>
    <t>6.</t>
  </si>
  <si>
    <t>Propagace</t>
  </si>
  <si>
    <t>tištěná propagace</t>
  </si>
  <si>
    <t>placená inzerce</t>
  </si>
  <si>
    <t>grafická úprava materiálů vč. sazby</t>
  </si>
  <si>
    <t>PR</t>
  </si>
  <si>
    <t>Další náklady</t>
  </si>
  <si>
    <t>autorské poplatky (OSA, DILIA…)</t>
  </si>
  <si>
    <t>překlady</t>
  </si>
  <si>
    <t>tlumočení</t>
  </si>
  <si>
    <t>pojištění</t>
  </si>
  <si>
    <t>Nepřímé – režijní náklady</t>
  </si>
  <si>
    <t>nájem kancelářských prostor</t>
  </si>
  <si>
    <t>kancelářské potřeby</t>
  </si>
  <si>
    <t>spoje (poštovné, telefony, internet)</t>
  </si>
  <si>
    <t>energie</t>
  </si>
  <si>
    <t>III.</t>
  </si>
  <si>
    <t>A1</t>
  </si>
  <si>
    <t>Uznatelné náklady celkem</t>
  </si>
  <si>
    <t>IV.</t>
  </si>
  <si>
    <t>NEUZNATELNÉ NÁKLADY</t>
  </si>
  <si>
    <t>občerstvení</t>
  </si>
  <si>
    <t>pohonné hmoty</t>
  </si>
  <si>
    <t>bankovní poplatky</t>
  </si>
  <si>
    <t>zpracování projektu</t>
  </si>
  <si>
    <t>právní služby</t>
  </si>
  <si>
    <t>věcná a finanční ocenění</t>
  </si>
  <si>
    <t>A2</t>
  </si>
  <si>
    <t>A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</si>
  <si>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</si>
  <si>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</si>
  <si>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</si>
  <si>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ZDROJE FINANCOVÁNÍ</t>
  </si>
  <si>
    <t>Neplátci DPH uvedou POUZE částku celkem.</t>
  </si>
  <si>
    <t>Příjmy z realizace projektu</t>
  </si>
  <si>
    <t>I.1.</t>
  </si>
  <si>
    <t>vstupné</t>
  </si>
  <si>
    <t>I.2.</t>
  </si>
  <si>
    <t>účastnické, konferenční poplatky, kurzovné</t>
  </si>
  <si>
    <t>I.3.</t>
  </si>
  <si>
    <t xml:space="preserve">prodej časopisů </t>
  </si>
  <si>
    <t>I.3.a)</t>
  </si>
  <si>
    <t xml:space="preserve">    - volný prodej</t>
  </si>
  <si>
    <t>I.3.b)</t>
  </si>
  <si>
    <t xml:space="preserve">    - předplatné</t>
  </si>
  <si>
    <t>I.4.</t>
  </si>
  <si>
    <t>prodej publikací, hudebnin, CD, DVD</t>
  </si>
  <si>
    <t>I.5.</t>
  </si>
  <si>
    <t>prodej dalších tiskovin (programy, katalogy, plakáty)</t>
  </si>
  <si>
    <t>I.6.</t>
  </si>
  <si>
    <t>prodej vystavovaného exponátu*</t>
  </si>
  <si>
    <t>I.7.</t>
  </si>
  <si>
    <t>příjmy z reklamy (např. u internetových portálů)</t>
  </si>
  <si>
    <t>I.8.</t>
  </si>
  <si>
    <r>
      <t xml:space="preserve">ostatní příjmy - </t>
    </r>
    <r>
      <rPr>
        <b/>
        <sz val="10"/>
        <rFont val="Arial"/>
        <family val="2"/>
        <charset val="238"/>
      </rPr>
      <t>specifikujte</t>
    </r>
  </si>
  <si>
    <t>II.1.</t>
  </si>
  <si>
    <t>vlastní finanční vklad žadatele</t>
  </si>
  <si>
    <t>II.2.</t>
  </si>
  <si>
    <t>sponzoři (na základě smlouvy o reklamě apod.)</t>
  </si>
  <si>
    <t>II.3.</t>
  </si>
  <si>
    <t xml:space="preserve">dary (na základě darovací smlouvy, potvrzení o přijetí daru) </t>
  </si>
  <si>
    <t>II.4.</t>
  </si>
  <si>
    <t>dotace od města, obce</t>
  </si>
  <si>
    <t>II.5.</t>
  </si>
  <si>
    <t>dotace od kraje</t>
  </si>
  <si>
    <t>II.6.</t>
  </si>
  <si>
    <t>II.7.</t>
  </si>
  <si>
    <t>dotace od Státního fondu kultury</t>
  </si>
  <si>
    <t>II.8.</t>
  </si>
  <si>
    <t>dotace od ústředních orgánů (mimo MK)</t>
  </si>
  <si>
    <t>II.9.</t>
  </si>
  <si>
    <t>zahraniční zdroje (Culture 2000, ambasády, kulturní centra...)</t>
  </si>
  <si>
    <t>II.10.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</si>
  <si>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- specifikujte</t>
    </r>
  </si>
  <si>
    <t>B</t>
  </si>
  <si>
    <t>Vyúčtování zpracoval / zpracovala</t>
  </si>
  <si>
    <t>E-mail</t>
  </si>
  <si>
    <t>Telefon</t>
  </si>
  <si>
    <t>Jméno a příjmení</t>
  </si>
  <si>
    <t>č. 3/2022 – Podpora projektů kreativního učení</t>
  </si>
  <si>
    <t>Struktura dotace</t>
  </si>
  <si>
    <t>I. Lektorské honoráře</t>
  </si>
  <si>
    <t>II. Další náklady přímé</t>
  </si>
  <si>
    <t>III. Nepřímé (režijní náklady)</t>
  </si>
  <si>
    <t>IV. Mzdy stálých zaměstnanců</t>
  </si>
  <si>
    <t>Náklady</t>
  </si>
  <si>
    <t>Zdroje</t>
  </si>
  <si>
    <t>Výzva NPO</t>
  </si>
  <si>
    <t>Číslo účtu, ze kterého byly hrazeny doklady</t>
  </si>
  <si>
    <r>
      <rPr>
        <b/>
        <sz val="10"/>
        <rFont val="Arial"/>
        <family val="2"/>
        <charset val="238"/>
      </rPr>
      <t>IV. Mzdy stálých zaměstnanců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Uveďte náplň práce na projektu a rozsah práce</t>
    </r>
    <r>
      <rPr>
        <sz val="10"/>
        <rFont val="Arial"/>
        <family val="2"/>
        <charset val="238"/>
      </rPr>
      <t xml:space="preserve"> (měsíční úvazek a počet měsíců / počet hodin / pracovní úkol) mzdy zaměstnanců zaměstnaných na základě pracovního poměru (pracovní smlouva). Způsobilým nákladem je mzda a zákonné odvody (zdravotní a sociální pojištění, pojištění odpovědnosti zaměstnavatele). - Př.: organizační zajištění workshopů, úvazek 0,1 / 4 měsíce.
</t>
    </r>
  </si>
  <si>
    <t>Poznámky k tabulkce:</t>
  </si>
  <si>
    <t>Částka celkem</t>
  </si>
  <si>
    <t>Č. j. rozhodnutí</t>
  </si>
  <si>
    <t>Lektorské honoráře</t>
  </si>
  <si>
    <t>Další náklady přímé</t>
  </si>
  <si>
    <t>Do komentáře uveďte způsob výpočtu položek I. Příjmy z realizace projektu (např. kurzovné 1500 Kč / kurz, realizováno 6 kurzů s celkem 60 účastníky).</t>
  </si>
  <si>
    <t>Č.</t>
  </si>
  <si>
    <t>Čerpání</t>
  </si>
  <si>
    <t>Z rozhodnutí (max. výše)</t>
  </si>
  <si>
    <t>Poskytnutá</t>
  </si>
  <si>
    <t>I</t>
  </si>
  <si>
    <t>II</t>
  </si>
  <si>
    <t>III</t>
  </si>
  <si>
    <t>IV</t>
  </si>
  <si>
    <t>Kód</t>
  </si>
  <si>
    <t>Kód položky struktury dotace
(I / II / III / IV)</t>
  </si>
  <si>
    <r>
      <t xml:space="preserve">Čerpání
</t>
    </r>
    <r>
      <rPr>
        <sz val="10"/>
        <color theme="1"/>
        <rFont val="Arial"/>
        <family val="2"/>
        <charset val="238"/>
      </rPr>
      <t>(z listu Náklady)</t>
    </r>
  </si>
  <si>
    <r>
      <t xml:space="preserve">Čerpání
</t>
    </r>
    <r>
      <rPr>
        <sz val="10"/>
        <color theme="1"/>
        <rFont val="Arial"/>
        <family val="2"/>
        <charset val="238"/>
      </rPr>
      <t>(z listu Seznam dokladů)</t>
    </r>
  </si>
  <si>
    <t>Neuznatelné náklady celkem</t>
  </si>
  <si>
    <t>Náklady celkem (A1 + A2)</t>
  </si>
  <si>
    <t>ANO</t>
  </si>
  <si>
    <t>NE</t>
  </si>
  <si>
    <t>Sledované období</t>
  </si>
  <si>
    <t>Částka bez DPH</t>
  </si>
  <si>
    <r>
      <t xml:space="preserve">Mzdy stálých zaměstnanců </t>
    </r>
    <r>
      <rPr>
        <sz val="10"/>
        <rFont val="Arial"/>
        <family val="2"/>
        <charset val="238"/>
      </rPr>
      <t>(vč. odvodů)</t>
    </r>
  </si>
  <si>
    <r>
      <t xml:space="preserve">Číslo účetního dokladu
</t>
    </r>
    <r>
      <rPr>
        <sz val="10"/>
        <rFont val="Arial"/>
        <family val="2"/>
        <charset val="238"/>
      </rPr>
      <t>(nikoli č. pořadové)</t>
    </r>
  </si>
  <si>
    <r>
      <rPr>
        <b/>
        <sz val="10"/>
        <rFont val="Arial"/>
        <family val="2"/>
        <charset val="238"/>
      </rPr>
      <t>Dodavatel / zaměstnanec</t>
    </r>
    <r>
      <rPr>
        <sz val="10"/>
        <rFont val="Arial"/>
        <family val="2"/>
        <charset val="238"/>
      </rPr>
      <t xml:space="preserve">
(komu bylo hrazeno)</t>
    </r>
  </si>
  <si>
    <r>
      <rPr>
        <b/>
        <sz val="10"/>
        <rFont val="Arial"/>
        <family val="2"/>
        <charset val="238"/>
      </rPr>
      <t xml:space="preserve">Účel
</t>
    </r>
    <r>
      <rPr>
        <sz val="10"/>
        <rFont val="Arial"/>
        <family val="2"/>
        <charset val="238"/>
      </rPr>
      <t>(za co by hrazeno, předmět plnění)</t>
    </r>
  </si>
  <si>
    <r>
      <t xml:space="preserve">Datum úhrady
</t>
    </r>
    <r>
      <rPr>
        <sz val="10"/>
        <rFont val="Arial"/>
        <family val="2"/>
        <charset val="238"/>
      </rPr>
      <t>(datum odečtení z účtu)</t>
    </r>
  </si>
  <si>
    <r>
      <t xml:space="preserve">Struktura dotace dle rozhodnutí
</t>
    </r>
    <r>
      <rPr>
        <sz val="10"/>
        <color theme="1"/>
        <rFont val="Arial"/>
        <family val="2"/>
        <charset val="238"/>
      </rPr>
      <t>(v max. výši)</t>
    </r>
  </si>
  <si>
    <t>Je příjemce dotace plátcem DPH?</t>
  </si>
  <si>
    <t>ANO, bez nároku na odpočet. (Např. hlavní činnost příspěvkových organizací.)</t>
  </si>
  <si>
    <t>Hrazeno z dotace 2022</t>
  </si>
  <si>
    <t>DOTACE 2022</t>
  </si>
  <si>
    <t>Struktura dotace 2022</t>
  </si>
  <si>
    <t>Čerpání 2022</t>
  </si>
  <si>
    <t>DOTACE 2023</t>
  </si>
  <si>
    <t>Struktura dotace 2023</t>
  </si>
  <si>
    <t>Čerpání 2023</t>
  </si>
  <si>
    <t>Hrazeno z dotace 2023</t>
  </si>
  <si>
    <t>Kontrola 1</t>
  </si>
  <si>
    <t>Z toho čerpáno z dotace 2022</t>
  </si>
  <si>
    <t>Z toho čerpáno z dotace 2023</t>
  </si>
  <si>
    <t>V.</t>
  </si>
  <si>
    <t>Bez DPH 2022</t>
  </si>
  <si>
    <t>DPH 2023</t>
  </si>
  <si>
    <t>Bez DPH 2023</t>
  </si>
  <si>
    <t>Celkem 2023</t>
  </si>
  <si>
    <t>Celkem 2022</t>
  </si>
  <si>
    <t>DPH 2022</t>
  </si>
  <si>
    <t>Dotace</t>
  </si>
  <si>
    <t>Datum převodu vratky</t>
  </si>
  <si>
    <t>Výše odeslané vratky</t>
  </si>
  <si>
    <r>
      <rPr>
        <b/>
        <sz val="11"/>
        <color theme="1"/>
        <rFont val="Arial"/>
        <family val="2"/>
        <charset val="238"/>
      </rPr>
      <t>Z rozhodnutí pro rok 2023</t>
    </r>
    <r>
      <rPr>
        <sz val="11"/>
        <color theme="1"/>
        <rFont val="Arial"/>
        <family val="2"/>
        <charset val="238"/>
      </rPr>
      <t xml:space="preserve"> (max. výše)</t>
    </r>
  </si>
  <si>
    <t>účetní služby</t>
  </si>
  <si>
    <r>
      <rPr>
        <b/>
        <sz val="10"/>
        <rFont val="Arial"/>
        <family val="2"/>
        <charset val="238"/>
      </rPr>
      <t>I. Lektorské honoráře:</t>
    </r>
    <r>
      <rPr>
        <sz val="10"/>
        <rFont val="Arial"/>
        <family val="2"/>
        <charset val="238"/>
      </rPr>
      <t xml:space="preserve">
Jedná se o náklady na osoby v roli lektora (tzn. pedagoga, metodika, přednášejícího, mentora, osoby podílející na obsahové přípravě aktivit kreativního učení apod.) bez ohledu na charakter (např. dohoda o provedení práce, dohoda o pracovní činnosti, faktura, smlouva o dílo apod.) kromě formy pracovního poměřu, která patří do sekce "Mzdy stálých zaměstnanců". Náklady na osoby, které zajišťují organizaci nebo technické zajištění akce, uveďte v sekci "Další náklady na projekt přímé".
</t>
    </r>
    <r>
      <rPr>
        <b/>
        <sz val="10"/>
        <rFont val="Arial"/>
        <family val="2"/>
        <charset val="238"/>
      </rPr>
      <t xml:space="preserve">Specifikujte obsah a rozsah. </t>
    </r>
    <r>
      <rPr>
        <sz val="10"/>
        <rFont val="Arial"/>
        <family val="2"/>
        <charset val="238"/>
      </rPr>
      <t>Př. lektor designu skla - 22 lekcí po 6 h (1 h / 600 Kč).</t>
    </r>
  </si>
  <si>
    <t>Zdroje financování celkem (bez DPH)</t>
  </si>
  <si>
    <t>II.11.</t>
  </si>
  <si>
    <t>1. 1. 2022 –  31. 6. 2023 (příprava 1. 1. 2022 –  31. 8. 2022)</t>
  </si>
  <si>
    <t>Zisk projektu</t>
  </si>
  <si>
    <t>Nedočerpaná dotace</t>
  </si>
  <si>
    <t>Vratka (nedočerpaná dotace + zisk projektu)</t>
  </si>
  <si>
    <t>další dotace od Ministerstva kultury – rozepište na jednotlivé útvary MK (odd. umění, odd. literatury knihoven, odbor regionální a národnostní kultury atd.)</t>
  </si>
  <si>
    <r>
      <rPr>
        <u/>
        <sz val="10"/>
        <color indexed="8"/>
        <rFont val="Arial"/>
        <family val="2"/>
        <charset val="238"/>
      </rPr>
      <t>dotace od Ministerstva kultury</t>
    </r>
    <r>
      <rPr>
        <sz val="10"/>
        <color indexed="8"/>
        <rFont val="Arial"/>
        <family val="2"/>
        <charset val="238"/>
      </rPr>
      <t xml:space="preserve"> – Národní plán obnovy, výzva č. 3/2022 Podpora projektů kreativního učení</t>
    </r>
  </si>
  <si>
    <t>SEZNAM ÚČETNÍCH DOKLADŮ HRAZENÝCH Z DOTACE</t>
  </si>
  <si>
    <t>Uveďte pouze prvotní doklady k nákladům hrazeným z dotace.</t>
  </si>
  <si>
    <r>
      <t xml:space="preserve">Druh prvotního dokladu </t>
    </r>
    <r>
      <rPr>
        <sz val="10"/>
        <rFont val="Arial"/>
        <family val="2"/>
        <charset val="238"/>
      </rPr>
      <t>(faktura, prac. sml., DPP/DPČ, sml. o dílo ad.)</t>
    </r>
  </si>
  <si>
    <t>Zbývající vratka</t>
  </si>
  <si>
    <t>Vratka celkem 2023 a 2023</t>
  </si>
  <si>
    <t>Kontrola</t>
  </si>
  <si>
    <t>ZÁVĚREČNÉ VYÚČTOVÁNÍ PROJEKTU</t>
  </si>
  <si>
    <t>Vzorový projekt kreativního učení</t>
  </si>
  <si>
    <t>MK 123456/2022 OUKKO</t>
  </si>
  <si>
    <t>123456789/1234</t>
  </si>
  <si>
    <t>Vzorový zpracovatel</t>
  </si>
  <si>
    <t>4 lektoři výtvarné dílny (40 dílen po 2 h), 3000 Kč / 1 dílna</t>
  </si>
  <si>
    <t>1 metodik kreativního učení (40 h)</t>
  </si>
  <si>
    <t>4 lektoři hudební dílny (20 dílen po 2 h), 3000 Kč / dílna</t>
  </si>
  <si>
    <t>4 lektoři výtvarné  dílny (44 dílen po 2 h), 3000 Kč / dílna</t>
  </si>
  <si>
    <t>4 lektoři hudební dílny (44 dílen po 2 h), 3000 Kč / dílna</t>
  </si>
  <si>
    <t>koordinace projektu a finanční vedení úv. 0,2 / 4 + 6 měsíců</t>
  </si>
  <si>
    <t>2022: 15 lekcí / 30 účastníků, 50 Kč
2023: 22 lekcí / 30 účastníků, 50 Kč</t>
  </si>
  <si>
    <t>FP01/2022</t>
  </si>
  <si>
    <t>Anna Lektorová</t>
  </si>
  <si>
    <t>lektorská činnost, 10 výtvarných dílen</t>
  </si>
  <si>
    <t>FP02/2022</t>
  </si>
  <si>
    <t>Adam Lektor</t>
  </si>
  <si>
    <t>lektorská činnost, 5 výtvarných dílen</t>
  </si>
  <si>
    <t>FP03/2022</t>
  </si>
  <si>
    <t>MZ01/2022</t>
  </si>
  <si>
    <t>DPP</t>
  </si>
  <si>
    <t>Alice Lektorová</t>
  </si>
  <si>
    <t>09/22 lektorská činnost - výtvarná dílna, 40 h</t>
  </si>
  <si>
    <t>10/22 lektorská činnost, výtvarné dílny, 40 h</t>
  </si>
  <si>
    <t>11/22 lektorská činnost, výtvarné dílny, 40 h</t>
  </si>
  <si>
    <t>MZ02/2022</t>
  </si>
  <si>
    <t>DPČ</t>
  </si>
  <si>
    <t>Aleš Lektor</t>
  </si>
  <si>
    <t>11/22 lektorská činnost, výtvarné dílny</t>
  </si>
  <si>
    <t>FP04/2022</t>
  </si>
  <si>
    <t>Bořivoj Hudebník</t>
  </si>
  <si>
    <t>lektorká činnost, 5 hudebních dílen</t>
  </si>
  <si>
    <t>FP05/2022</t>
  </si>
  <si>
    <t>Blažena Hudebnice</t>
  </si>
  <si>
    <t>lektorská činnost, 5 hudebních dílen</t>
  </si>
  <si>
    <t>FP06/2022</t>
  </si>
  <si>
    <t>Boleslava Hudebnice</t>
  </si>
  <si>
    <t>FP07/2022</t>
  </si>
  <si>
    <t>Bivoj Hudebník</t>
  </si>
  <si>
    <t>FP08/2022</t>
  </si>
  <si>
    <t>Cecílie Metodička</t>
  </si>
  <si>
    <t>metodická podpora programů kreativního učení</t>
  </si>
  <si>
    <t>FP09/2022</t>
  </si>
  <si>
    <t>Ateliéry a.s.</t>
  </si>
  <si>
    <t>09/22 nájem ateliéru pro dílny</t>
  </si>
  <si>
    <t>FP10/2022</t>
  </si>
  <si>
    <t>10/22 nájem ateliéru pro dílny</t>
  </si>
  <si>
    <t>FP11/2022</t>
  </si>
  <si>
    <t>11/22 nájem ateliéru pro dílny</t>
  </si>
  <si>
    <t>FP12/2022</t>
  </si>
  <si>
    <t>12/22 nájem ateliéru pro dílny</t>
  </si>
  <si>
    <t>FP13/2022</t>
  </si>
  <si>
    <t>Tiskára s.r.o.</t>
  </si>
  <si>
    <t>tisk platkátů A0</t>
  </si>
  <si>
    <t>daňový doklad - účtenka</t>
  </si>
  <si>
    <t>Pastelka s.r.o.</t>
  </si>
  <si>
    <t>kandelářské potřeby - toner</t>
  </si>
  <si>
    <t>Daniela Zaměstnaná</t>
  </si>
  <si>
    <t>9/22 koordinace a finanční řízení</t>
  </si>
  <si>
    <t>VZP</t>
  </si>
  <si>
    <t>9/22 zdravotní pojištění</t>
  </si>
  <si>
    <t>ČSSZ</t>
  </si>
  <si>
    <t>FP01/2023</t>
  </si>
  <si>
    <t>FP02/2023</t>
  </si>
  <si>
    <t>lektorská činnost, 6 výtvarných dílen</t>
  </si>
  <si>
    <t>MZ01/2023</t>
  </si>
  <si>
    <t>01/23 lektorská činnost - výtvarná dílna, 40 h</t>
  </si>
  <si>
    <t>02/23 lektorská činnost, výtvarné dílny, 40 h</t>
  </si>
  <si>
    <t>03/22 lektorská činnost, výtvarné dílny, 30 h</t>
  </si>
  <si>
    <t>MZ02/2023</t>
  </si>
  <si>
    <t>04/22 lektorská činnost, výtvarné dílny, 40 h</t>
  </si>
  <si>
    <t>05/22 lektorská činnost, výtvarné dílny, 40 h</t>
  </si>
  <si>
    <t>lektorká činnost, 11 hudebních dílen</t>
  </si>
  <si>
    <t>lektorská činnost, 11 hudebních dílen</t>
  </si>
  <si>
    <t>02/23 nájem ateliéru pro dílny</t>
  </si>
  <si>
    <t>03/23 nájem ateliéru pro dílny</t>
  </si>
  <si>
    <t>04/23 nájem ateliéru pro dílny</t>
  </si>
  <si>
    <t>05/23 nájem ateliéru pro dílny</t>
  </si>
  <si>
    <t>06/23 nájem ateliéru pro dílny</t>
  </si>
  <si>
    <t>FP03/2023</t>
  </si>
  <si>
    <t>FP04/2023</t>
  </si>
  <si>
    <t>FP05/2023</t>
  </si>
  <si>
    <t>FP06/2023</t>
  </si>
  <si>
    <t>FP07/2023</t>
  </si>
  <si>
    <t>FP08/2023</t>
  </si>
  <si>
    <t>FP09/2023</t>
  </si>
  <si>
    <t>FP10/2023</t>
  </si>
  <si>
    <t>FP11/2023</t>
  </si>
  <si>
    <t>FP12/2023</t>
  </si>
  <si>
    <t>vzorovy.zadatel@kreativniuceni.cz</t>
  </si>
  <si>
    <t>9/22 sociální pojištění</t>
  </si>
  <si>
    <t>10/22 koordinace a finanční řízení</t>
  </si>
  <si>
    <t>10/22 zdravotní pojištění</t>
  </si>
  <si>
    <t>11/22 koordinace a finanční řízení</t>
  </si>
  <si>
    <t>11/22 zdravotní pojištění</t>
  </si>
  <si>
    <t>10/22 sociální pojištění</t>
  </si>
  <si>
    <t>12/22 koordinace a finanční řízení</t>
  </si>
  <si>
    <t>12/22 zdravotní pojištění</t>
  </si>
  <si>
    <t>12/22 sociální pojištění</t>
  </si>
  <si>
    <t>1/22 koordinace a finanční řízení</t>
  </si>
  <si>
    <t>1/22 zdravotní pojištění</t>
  </si>
  <si>
    <t>1/22 sociální pojištění</t>
  </si>
  <si>
    <t>2/22 koordinace a finanční řízení</t>
  </si>
  <si>
    <t>2/22 zdravotní pojištění</t>
  </si>
  <si>
    <t>2/22 sociální pojištění</t>
  </si>
  <si>
    <t>3/22 koordinace a finanční řízení</t>
  </si>
  <si>
    <t>3/22 zdravotní pojištění</t>
  </si>
  <si>
    <t>3/22 sociální pojištění</t>
  </si>
  <si>
    <t>4/22 koordinace a finanční řízení</t>
  </si>
  <si>
    <t>5/22 koordinace a finanční řízení</t>
  </si>
  <si>
    <t>6/22 koordinace a finanční řízení</t>
  </si>
  <si>
    <t>Vzorový žadatel</t>
  </si>
  <si>
    <t>11/22 sociální pojištění</t>
  </si>
  <si>
    <t>DD22/2023</t>
  </si>
  <si>
    <t>DD14/2022</t>
  </si>
  <si>
    <t>POVINNÉ ZKRATKY - druh prvotního dokladu (sloupec C)</t>
  </si>
  <si>
    <t>Dohoda o provedení práce</t>
  </si>
  <si>
    <t>Dohoda o pracovní činnosti</t>
  </si>
  <si>
    <t>Pracovní smlouva</t>
  </si>
  <si>
    <t>PS</t>
  </si>
  <si>
    <t>Zdrav. a soc. pojištění se vždy týká jedné ze smluv uvedených výše.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</si>
</sst>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theme="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3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49" fontId="7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9" fontId="5" fillId="0" borderId="16" xfId="0" applyNumberFormat="1" applyFont="1" applyBorder="1" applyAlignment="1" applyProtection="1">
      <alignment horizontal="left" vertical="top"/>
      <protection locked="0"/>
    </xf>
    <xf numFmtId="49" fontId="5" fillId="0" borderId="16" xfId="0" applyNumberFormat="1" applyFont="1" applyBorder="1" applyAlignment="1" applyProtection="1">
      <alignment horizontal="center" vertical="top"/>
      <protection locked="0"/>
    </xf>
    <xf numFmtId="49" fontId="5" fillId="0" borderId="2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Protection="1"/>
    <xf numFmtId="0" fontId="13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 wrapText="1"/>
    </xf>
    <xf numFmtId="49" fontId="5" fillId="0" borderId="17" xfId="0" applyNumberFormat="1" applyFont="1" applyBorder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left" vertical="top"/>
      <protection locked="0"/>
    </xf>
    <xf numFmtId="0" fontId="5" fillId="0" borderId="26" xfId="0" applyFont="1" applyBorder="1" applyProtection="1">
      <protection locked="0"/>
    </xf>
    <xf numFmtId="4" fontId="5" fillId="0" borderId="27" xfId="0" applyNumberFormat="1" applyFont="1" applyBorder="1" applyAlignment="1" applyProtection="1">
      <alignment horizontal="right" vertical="top"/>
      <protection locked="0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" fontId="5" fillId="0" borderId="0" xfId="0" applyNumberFormat="1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vertical="center" wrapText="1"/>
    </xf>
    <xf numFmtId="0" fontId="5" fillId="0" borderId="0" xfId="0" applyFont="1" applyFill="1" applyProtection="1"/>
    <xf numFmtId="4" fontId="12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right"/>
    </xf>
    <xf numFmtId="0" fontId="20" fillId="0" borderId="0" xfId="0" applyFont="1" applyFill="1" applyAlignment="1" applyProtection="1">
      <alignment horizontal="left" vertical="center"/>
    </xf>
    <xf numFmtId="49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0" borderId="26" xfId="0" applyFont="1" applyBorder="1" applyProtection="1"/>
    <xf numFmtId="49" fontId="7" fillId="3" borderId="0" xfId="1" applyNumberFormat="1" applyFont="1" applyFill="1" applyBorder="1" applyAlignment="1" applyProtection="1">
      <alignment vertical="center"/>
    </xf>
    <xf numFmtId="0" fontId="0" fillId="3" borderId="0" xfId="0" applyFill="1" applyBorder="1" applyProtection="1"/>
    <xf numFmtId="0" fontId="5" fillId="3" borderId="0" xfId="0" applyFont="1" applyFill="1" applyProtection="1"/>
    <xf numFmtId="0" fontId="5" fillId="0" borderId="0" xfId="0" applyFont="1" applyAlignment="1" applyProtection="1">
      <alignment wrapText="1"/>
      <protection locked="0"/>
    </xf>
    <xf numFmtId="4" fontId="5" fillId="0" borderId="45" xfId="0" applyNumberFormat="1" applyFont="1" applyBorder="1" applyAlignment="1" applyProtection="1">
      <alignment horizontal="right" vertical="top"/>
      <protection locked="0"/>
    </xf>
    <xf numFmtId="4" fontId="5" fillId="0" borderId="29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horizontal="center" vertical="center"/>
    </xf>
    <xf numFmtId="49" fontId="19" fillId="0" borderId="0" xfId="1" applyNumberFormat="1" applyFont="1" applyFill="1" applyBorder="1" applyAlignment="1" applyProtection="1">
      <alignment horizontal="left" vertical="center"/>
    </xf>
    <xf numFmtId="3" fontId="11" fillId="0" borderId="0" xfId="1" applyNumberFormat="1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 wrapText="1"/>
    </xf>
    <xf numFmtId="4" fontId="12" fillId="4" borderId="2" xfId="0" applyNumberFormat="1" applyFont="1" applyFill="1" applyBorder="1" applyAlignment="1" applyProtection="1">
      <alignment horizontal="center" vertical="center"/>
    </xf>
    <xf numFmtId="49" fontId="11" fillId="4" borderId="2" xfId="1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" fontId="12" fillId="3" borderId="2" xfId="0" applyNumberFormat="1" applyFont="1" applyFill="1" applyBorder="1" applyAlignment="1" applyProtection="1">
      <alignment horizontal="center" vertical="center"/>
    </xf>
    <xf numFmtId="49" fontId="11" fillId="3" borderId="2" xfId="1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>
      <alignment horizontal="right" vertical="center"/>
      <protection locked="0"/>
    </xf>
    <xf numFmtId="4" fontId="17" fillId="0" borderId="0" xfId="0" applyNumberFormat="1" applyFont="1" applyFill="1" applyAlignment="1" applyProtection="1">
      <alignment horizontal="right" vertical="center"/>
      <protection locked="0"/>
    </xf>
    <xf numFmtId="49" fontId="5" fillId="0" borderId="0" xfId="0" applyNumberFormat="1" applyFont="1" applyFill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" fontId="5" fillId="0" borderId="52" xfId="0" applyNumberFormat="1" applyFont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right" vertical="center"/>
    </xf>
    <xf numFmtId="4" fontId="5" fillId="0" borderId="43" xfId="0" applyNumberFormat="1" applyFont="1" applyFill="1" applyBorder="1" applyAlignment="1" applyProtection="1">
      <alignment horizontal="right" vertical="center"/>
      <protection locked="0"/>
    </xf>
    <xf numFmtId="4" fontId="5" fillId="0" borderId="16" xfId="0" applyNumberFormat="1" applyFont="1" applyFill="1" applyBorder="1" applyAlignment="1" applyProtection="1">
      <alignment horizontal="right" vertical="center"/>
      <protection locked="0"/>
    </xf>
    <xf numFmtId="4" fontId="5" fillId="0" borderId="45" xfId="0" applyNumberFormat="1" applyFont="1" applyFill="1" applyBorder="1" applyAlignment="1" applyProtection="1">
      <alignment horizontal="right" vertical="center"/>
      <protection locked="0"/>
    </xf>
    <xf numFmtId="4" fontId="5" fillId="0" borderId="28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29" xfId="0" applyNumberFormat="1" applyFont="1" applyFill="1" applyBorder="1" applyAlignment="1" applyProtection="1">
      <alignment horizontal="right" vertical="center"/>
      <protection locked="0"/>
    </xf>
    <xf numFmtId="4" fontId="5" fillId="0" borderId="55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6" xfId="0" applyNumberFormat="1" applyFill="1" applyBorder="1" applyAlignment="1" applyProtection="1">
      <alignment wrapText="1"/>
      <protection locked="0"/>
    </xf>
    <xf numFmtId="4" fontId="0" fillId="0" borderId="38" xfId="0" applyNumberFormat="1" applyFill="1" applyBorder="1" applyAlignment="1" applyProtection="1">
      <alignment wrapText="1"/>
      <protection locked="0"/>
    </xf>
    <xf numFmtId="4" fontId="0" fillId="0" borderId="33" xfId="0" applyNumberFormat="1" applyFill="1" applyBorder="1" applyAlignment="1" applyProtection="1">
      <alignment wrapText="1"/>
      <protection locked="0"/>
    </xf>
    <xf numFmtId="4" fontId="5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1" xfId="0" applyNumberFormat="1" applyFill="1" applyBorder="1" applyAlignment="1" applyProtection="1">
      <alignment wrapText="1"/>
      <protection locked="0"/>
    </xf>
    <xf numFmtId="4" fontId="0" fillId="0" borderId="16" xfId="0" applyNumberFormat="1" applyFill="1" applyBorder="1" applyAlignment="1" applyProtection="1">
      <alignment wrapText="1"/>
      <protection locked="0"/>
    </xf>
    <xf numFmtId="4" fontId="0" fillId="0" borderId="8" xfId="0" applyNumberFormat="1" applyFill="1" applyBorder="1" applyAlignment="1" applyProtection="1">
      <alignment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/>
      <protection locked="0"/>
    </xf>
    <xf numFmtId="4" fontId="5" fillId="0" borderId="56" xfId="0" applyNumberFormat="1" applyFont="1" applyFill="1" applyBorder="1" applyAlignment="1" applyProtection="1">
      <alignment horizontal="right" vertical="center"/>
      <protection locked="0"/>
    </xf>
    <xf numFmtId="4" fontId="5" fillId="0" borderId="46" xfId="0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35" xfId="0" applyNumberFormat="1" applyFont="1" applyFill="1" applyBorder="1" applyAlignment="1" applyProtection="1">
      <alignment horizontal="right" vertical="center"/>
      <protection locked="0"/>
    </xf>
    <xf numFmtId="4" fontId="5" fillId="0" borderId="36" xfId="0" applyNumberFormat="1" applyFont="1" applyFill="1" applyBorder="1" applyAlignment="1" applyProtection="1">
      <alignment horizontal="right" vertical="center"/>
      <protection locked="0"/>
    </xf>
    <xf numFmtId="4" fontId="5" fillId="0" borderId="49" xfId="0" applyNumberFormat="1" applyFont="1" applyFill="1" applyBorder="1" applyAlignment="1" applyProtection="1">
      <alignment horizontal="right" vertical="center"/>
      <protection locked="0"/>
    </xf>
    <xf numFmtId="0" fontId="12" fillId="3" borderId="5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56" xfId="0" applyFont="1" applyFill="1" applyBorder="1" applyAlignment="1" applyProtection="1">
      <alignment horizontal="center" vertical="center" wrapText="1"/>
    </xf>
    <xf numFmtId="0" fontId="12" fillId="4" borderId="51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56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left" vertical="center"/>
    </xf>
    <xf numFmtId="4" fontId="4" fillId="0" borderId="44" xfId="0" applyNumberFormat="1" applyFont="1" applyBorder="1" applyAlignment="1" applyProtection="1">
      <alignment horizontal="right" vertical="center" wrapText="1"/>
      <protection locked="0"/>
    </xf>
    <xf numFmtId="49" fontId="5" fillId="0" borderId="60" xfId="0" applyNumberFormat="1" applyFont="1" applyBorder="1" applyAlignment="1" applyProtection="1">
      <alignment horizontal="left" vertical="center" wrapText="1"/>
      <protection locked="0"/>
    </xf>
    <xf numFmtId="49" fontId="12" fillId="0" borderId="34" xfId="0" applyNumberFormat="1" applyFont="1" applyFill="1" applyBorder="1" applyAlignment="1" applyProtection="1">
      <alignment horizontal="center" vertical="center" wrapText="1"/>
    </xf>
    <xf numFmtId="49" fontId="5" fillId="0" borderId="5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2" xfId="0" applyNumberFormat="1" applyFont="1" applyBorder="1" applyAlignment="1" applyProtection="1">
      <alignment horizontal="left" vertical="center" wrapText="1"/>
      <protection locked="0"/>
    </xf>
    <xf numFmtId="0" fontId="12" fillId="0" borderId="53" xfId="0" applyFont="1" applyFill="1" applyBorder="1" applyAlignment="1" applyProtection="1">
      <alignment horizontal="right" vertical="center"/>
    </xf>
    <xf numFmtId="0" fontId="5" fillId="0" borderId="43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5" fillId="0" borderId="44" xfId="0" applyFont="1" applyFill="1" applyBorder="1" applyAlignment="1" applyProtection="1">
      <alignment vertical="center"/>
      <protection locked="0"/>
    </xf>
    <xf numFmtId="0" fontId="5" fillId="0" borderId="28" xfId="0" applyFont="1" applyFill="1" applyBorder="1" applyAlignment="1" applyProtection="1">
      <alignment vertical="center"/>
      <protection locked="0"/>
    </xf>
    <xf numFmtId="0" fontId="5" fillId="0" borderId="57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49" fontId="11" fillId="0" borderId="13" xfId="0" applyNumberFormat="1" applyFont="1" applyFill="1" applyBorder="1" applyAlignment="1" applyProtection="1">
      <alignment vertical="center" wrapText="1"/>
    </xf>
    <xf numFmtId="4" fontId="11" fillId="0" borderId="13" xfId="0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 applyProtection="1">
      <alignment horizontal="right" vertical="center"/>
    </xf>
    <xf numFmtId="49" fontId="24" fillId="0" borderId="15" xfId="0" applyNumberFormat="1" applyFont="1" applyBorder="1" applyAlignment="1" applyProtection="1">
      <alignment horizontal="left" vertical="center" wrapText="1"/>
      <protection locked="0"/>
    </xf>
    <xf numFmtId="4" fontId="5" fillId="0" borderId="47" xfId="0" applyNumberFormat="1" applyFont="1" applyFill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wrapText="1"/>
    </xf>
    <xf numFmtId="0" fontId="5" fillId="0" borderId="43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4" fontId="20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44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center" vertical="center"/>
    </xf>
    <xf numFmtId="4" fontId="0" fillId="0" borderId="0" xfId="0" applyNumberFormat="1" applyFill="1" applyBorder="1" applyAlignment="1" applyProtection="1">
      <protection locked="0"/>
    </xf>
    <xf numFmtId="4" fontId="0" fillId="0" borderId="44" xfId="0" applyNumberFormat="1" applyFill="1" applyBorder="1" applyAlignment="1" applyProtection="1">
      <protection locked="0"/>
    </xf>
    <xf numFmtId="4" fontId="0" fillId="0" borderId="0" xfId="0" applyNumberFormat="1" applyFill="1" applyAlignment="1" applyProtection="1">
      <protection locked="0"/>
    </xf>
    <xf numFmtId="49" fontId="20" fillId="0" borderId="0" xfId="0" applyNumberFormat="1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12" fillId="0" borderId="0" xfId="0" applyFont="1" applyProtection="1"/>
    <xf numFmtId="0" fontId="8" fillId="0" borderId="0" xfId="0" applyFont="1" applyFill="1" applyProtection="1"/>
    <xf numFmtId="0" fontId="20" fillId="0" borderId="0" xfId="0" applyFont="1" applyFill="1" applyProtection="1"/>
    <xf numFmtId="49" fontId="23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14" fontId="5" fillId="0" borderId="16" xfId="0" applyNumberFormat="1" applyFont="1" applyBorder="1" applyAlignment="1" applyProtection="1">
      <alignment horizontal="left" vertical="top"/>
      <protection locked="0"/>
    </xf>
    <xf numFmtId="14" fontId="5" fillId="0" borderId="2" xfId="0" applyNumberFormat="1" applyFont="1" applyBorder="1" applyAlignment="1" applyProtection="1">
      <alignment horizontal="left" vertical="top"/>
      <protection locked="0"/>
    </xf>
    <xf numFmtId="0" fontId="20" fillId="0" borderId="0" xfId="0" applyFont="1" applyProtection="1"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33" xfId="1" applyNumberFormat="1" applyFont="1" applyFill="1" applyBorder="1" applyAlignment="1" applyProtection="1">
      <alignment horizontal="left" vertical="center"/>
      <protection locked="0"/>
    </xf>
    <xf numFmtId="14" fontId="5" fillId="0" borderId="16" xfId="0" applyNumberFormat="1" applyFont="1" applyFill="1" applyBorder="1" applyAlignment="1" applyProtection="1">
      <alignment horizontal="left" vertical="top"/>
      <protection locked="0"/>
    </xf>
    <xf numFmtId="49" fontId="11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4" fontId="12" fillId="2" borderId="14" xfId="0" applyNumberFormat="1" applyFont="1" applyFill="1" applyBorder="1" applyAlignment="1" applyProtection="1">
      <alignment horizontal="right" vertical="center"/>
      <protection locked="0"/>
    </xf>
    <xf numFmtId="4" fontId="12" fillId="2" borderId="24" xfId="0" applyNumberFormat="1" applyFont="1" applyFill="1" applyBorder="1" applyAlignment="1" applyProtection="1">
      <alignment horizontal="right" vertical="center"/>
      <protection locked="0"/>
    </xf>
    <xf numFmtId="4" fontId="12" fillId="2" borderId="25" xfId="0" applyNumberFormat="1" applyFont="1" applyFill="1" applyBorder="1" applyAlignment="1" applyProtection="1">
      <alignment horizontal="right"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49" fontId="11" fillId="0" borderId="0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Protection="1"/>
    <xf numFmtId="0" fontId="26" fillId="0" borderId="0" xfId="0" applyFont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vertical="center"/>
    </xf>
    <xf numFmtId="4" fontId="20" fillId="0" borderId="0" xfId="0" applyNumberFormat="1" applyFont="1" applyFill="1" applyBorder="1" applyAlignment="1" applyProtection="1">
      <alignment horizontal="left" vertical="center"/>
    </xf>
    <xf numFmtId="0" fontId="26" fillId="0" borderId="0" xfId="0" applyFont="1" applyFill="1" applyAlignment="1" applyProtection="1">
      <alignment vertical="center"/>
    </xf>
    <xf numFmtId="4" fontId="20" fillId="0" borderId="0" xfId="0" applyNumberFormat="1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1" applyNumberFormat="1" applyFont="1" applyFill="1" applyBorder="1" applyAlignment="1" applyProtection="1">
      <alignment vertical="center"/>
    </xf>
    <xf numFmtId="49" fontId="1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49" fontId="11" fillId="0" borderId="0" xfId="1" applyNumberFormat="1" applyFont="1" applyFill="1" applyBorder="1" applyAlignment="1" applyProtection="1">
      <alignment vertical="center"/>
    </xf>
    <xf numFmtId="0" fontId="6" fillId="0" borderId="44" xfId="0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horizontal="left" vertical="center"/>
    </xf>
    <xf numFmtId="49" fontId="11" fillId="0" borderId="50" xfId="1" applyNumberFormat="1" applyFont="1" applyFill="1" applyBorder="1" applyAlignment="1" applyProtection="1">
      <alignment vertical="center" wrapText="1"/>
    </xf>
    <xf numFmtId="49" fontId="11" fillId="0" borderId="48" xfId="1" applyNumberFormat="1" applyFont="1" applyFill="1" applyBorder="1" applyAlignment="1" applyProtection="1">
      <alignment vertical="center" wrapText="1"/>
    </xf>
    <xf numFmtId="49" fontId="11" fillId="0" borderId="0" xfId="1" applyNumberFormat="1" applyFont="1" applyFill="1" applyBorder="1" applyAlignment="1" applyProtection="1">
      <alignment vertical="center" wrapText="1"/>
    </xf>
    <xf numFmtId="3" fontId="4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4" fontId="14" fillId="0" borderId="43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14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/>
      <protection locked="0"/>
    </xf>
    <xf numFmtId="49" fontId="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4" fillId="5" borderId="43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16" xfId="0" applyNumberFormat="1" applyFont="1" applyFill="1" applyBorder="1" applyAlignment="1" applyProtection="1">
      <alignment horizontal="right" vertical="center"/>
      <protection locked="0"/>
    </xf>
    <xf numFmtId="4" fontId="5" fillId="5" borderId="45" xfId="0" applyNumberFormat="1" applyFont="1" applyFill="1" applyBorder="1" applyAlignment="1" applyProtection="1">
      <alignment horizontal="right" vertical="center"/>
      <protection locked="0"/>
    </xf>
    <xf numFmtId="49" fontId="5" fillId="5" borderId="63" xfId="0" applyNumberFormat="1" applyFont="1" applyFill="1" applyBorder="1" applyAlignment="1" applyProtection="1">
      <alignment horizontal="left" vertical="center" wrapText="1"/>
      <protection locked="0"/>
    </xf>
    <xf numFmtId="4" fontId="4" fillId="5" borderId="28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2" xfId="0" applyNumberFormat="1" applyFont="1" applyFill="1" applyBorder="1" applyAlignment="1" applyProtection="1">
      <alignment horizontal="right" vertical="center"/>
      <protection locked="0"/>
    </xf>
    <xf numFmtId="4" fontId="5" fillId="5" borderId="29" xfId="0" applyNumberFormat="1" applyFont="1" applyFill="1" applyBorder="1" applyAlignment="1" applyProtection="1">
      <alignment horizontal="right" vertical="center"/>
      <protection locked="0"/>
    </xf>
    <xf numFmtId="49" fontId="5" fillId="5" borderId="33" xfId="0" applyNumberFormat="1" applyFont="1" applyFill="1" applyBorder="1" applyAlignment="1" applyProtection="1">
      <alignment horizontal="left" vertical="center" wrapText="1"/>
      <protection locked="0"/>
    </xf>
    <xf numFmtId="4" fontId="4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5" borderId="29" xfId="0" applyNumberFormat="1" applyFont="1" applyFill="1" applyBorder="1" applyAlignment="1" applyProtection="1">
      <alignment horizontal="center" vertical="center"/>
      <protection locked="0"/>
    </xf>
    <xf numFmtId="4" fontId="14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/>
      <protection locked="0"/>
    </xf>
    <xf numFmtId="4" fontId="5" fillId="2" borderId="45" xfId="0" applyNumberFormat="1" applyFont="1" applyFill="1" applyBorder="1" applyAlignment="1" applyProtection="1">
      <alignment horizontal="right" vertical="center"/>
      <protection locked="0"/>
    </xf>
    <xf numFmtId="0" fontId="12" fillId="2" borderId="53" xfId="0" applyFont="1" applyFill="1" applyBorder="1" applyAlignment="1" applyProtection="1">
      <alignment horizontal="right" vertical="center"/>
      <protection locked="0"/>
    </xf>
    <xf numFmtId="4" fontId="12" fillId="2" borderId="48" xfId="0" applyNumberFormat="1" applyFont="1" applyFill="1" applyBorder="1" applyAlignment="1" applyProtection="1">
      <alignment horizontal="right" vertical="center"/>
      <protection locked="0"/>
    </xf>
    <xf numFmtId="4" fontId="12" fillId="2" borderId="21" xfId="0" applyNumberFormat="1" applyFont="1" applyFill="1" applyBorder="1" applyAlignment="1" applyProtection="1">
      <alignment horizontal="right" vertical="center"/>
      <protection locked="0"/>
    </xf>
    <xf numFmtId="4" fontId="12" fillId="2" borderId="49" xfId="0" applyNumberFormat="1" applyFont="1" applyFill="1" applyBorder="1" applyAlignment="1" applyProtection="1">
      <alignment horizontal="right" vertical="center"/>
      <protection locked="0"/>
    </xf>
    <xf numFmtId="0" fontId="12" fillId="6" borderId="1" xfId="0" applyFont="1" applyFill="1" applyBorder="1" applyAlignment="1" applyProtection="1">
      <alignment horizontal="right" vertical="center"/>
      <protection locked="0"/>
    </xf>
    <xf numFmtId="4" fontId="12" fillId="6" borderId="1" xfId="0" applyNumberFormat="1" applyFont="1" applyFill="1" applyBorder="1" applyAlignment="1" applyProtection="1">
      <alignment horizontal="right" vertical="center"/>
      <protection locked="0"/>
    </xf>
    <xf numFmtId="4" fontId="12" fillId="6" borderId="14" xfId="0" applyNumberFormat="1" applyFont="1" applyFill="1" applyBorder="1" applyAlignment="1" applyProtection="1">
      <alignment horizontal="right" vertical="center"/>
      <protection locked="0"/>
    </xf>
    <xf numFmtId="4" fontId="12" fillId="6" borderId="15" xfId="0" applyNumberFormat="1" applyFont="1" applyFill="1" applyBorder="1" applyAlignment="1" applyProtection="1">
      <alignment horizontal="right" vertical="center"/>
      <protection locked="0"/>
    </xf>
    <xf numFmtId="4" fontId="12" fillId="6" borderId="24" xfId="0" applyNumberFormat="1" applyFont="1" applyFill="1" applyBorder="1" applyAlignment="1" applyProtection="1">
      <alignment horizontal="right" vertical="center"/>
      <protection locked="0"/>
    </xf>
    <xf numFmtId="4" fontId="12" fillId="6" borderId="25" xfId="0" applyNumberFormat="1" applyFont="1" applyFill="1" applyBorder="1" applyAlignment="1" applyProtection="1">
      <alignment horizontal="right" vertical="center"/>
      <protection locked="0"/>
    </xf>
    <xf numFmtId="0" fontId="11" fillId="6" borderId="1" xfId="0" applyFont="1" applyFill="1" applyBorder="1" applyAlignment="1" applyProtection="1">
      <alignment horizontal="right" vertical="center"/>
      <protection locked="0"/>
    </xf>
    <xf numFmtId="4" fontId="11" fillId="6" borderId="1" xfId="0" applyNumberFormat="1" applyFont="1" applyFill="1" applyBorder="1" applyAlignment="1" applyProtection="1">
      <alignment horizontal="right" vertical="center"/>
      <protection locked="0"/>
    </xf>
    <xf numFmtId="4" fontId="11" fillId="6" borderId="23" xfId="0" applyNumberFormat="1" applyFont="1" applyFill="1" applyBorder="1" applyAlignment="1" applyProtection="1">
      <alignment vertical="center"/>
      <protection locked="0"/>
    </xf>
    <xf numFmtId="4" fontId="11" fillId="6" borderId="14" xfId="0" applyNumberFormat="1" applyFont="1" applyFill="1" applyBorder="1" applyAlignment="1" applyProtection="1">
      <alignment vertical="center"/>
      <protection locked="0"/>
    </xf>
    <xf numFmtId="4" fontId="11" fillId="6" borderId="15" xfId="0" applyNumberFormat="1" applyFont="1" applyFill="1" applyBorder="1" applyAlignment="1" applyProtection="1">
      <alignment vertical="center"/>
      <protection locked="0"/>
    </xf>
    <xf numFmtId="0" fontId="12" fillId="6" borderId="24" xfId="0" applyFont="1" applyFill="1" applyBorder="1" applyAlignment="1" applyProtection="1">
      <alignment horizontal="right" vertical="center"/>
      <protection locked="0"/>
    </xf>
    <xf numFmtId="0" fontId="12" fillId="3" borderId="28" xfId="0" applyFont="1" applyFill="1" applyBorder="1" applyAlignment="1" applyProtection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3" borderId="56" xfId="0" applyFont="1" applyFill="1" applyBorder="1" applyAlignment="1" applyProtection="1">
      <alignment horizontal="center" vertical="center"/>
    </xf>
    <xf numFmtId="4" fontId="11" fillId="3" borderId="24" xfId="0" applyNumberFormat="1" applyFont="1" applyFill="1" applyBorder="1" applyAlignment="1" applyProtection="1">
      <alignment horizontal="right" vertical="center" wrapText="1"/>
    </xf>
    <xf numFmtId="4" fontId="11" fillId="3" borderId="14" xfId="0" applyNumberFormat="1" applyFont="1" applyFill="1" applyBorder="1" applyAlignment="1" applyProtection="1">
      <alignment horizontal="right" vertical="center" wrapText="1"/>
    </xf>
    <xf numFmtId="4" fontId="11" fillId="3" borderId="25" xfId="0" applyNumberFormat="1" applyFont="1" applyFill="1" applyBorder="1" applyAlignment="1" applyProtection="1">
      <alignment horizontal="right" vertical="center" wrapText="1"/>
    </xf>
    <xf numFmtId="4" fontId="11" fillId="3" borderId="64" xfId="0" applyNumberFormat="1" applyFont="1" applyFill="1" applyBorder="1" applyAlignment="1" applyProtection="1">
      <alignment horizontal="right" vertical="center" wrapText="1"/>
    </xf>
    <xf numFmtId="4" fontId="11" fillId="3" borderId="15" xfId="0" applyNumberFormat="1" applyFont="1" applyFill="1" applyBorder="1" applyAlignment="1" applyProtection="1">
      <alignment horizontal="right" vertical="center" wrapText="1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47" xfId="0" applyFont="1" applyFill="1" applyBorder="1" applyAlignment="1" applyProtection="1">
      <alignment horizontal="center" vertical="center"/>
    </xf>
    <xf numFmtId="4" fontId="11" fillId="4" borderId="24" xfId="0" applyNumberFormat="1" applyFont="1" applyFill="1" applyBorder="1" applyAlignment="1" applyProtection="1">
      <alignment horizontal="right" vertical="center" wrapText="1"/>
    </xf>
    <xf numFmtId="4" fontId="11" fillId="4" borderId="14" xfId="0" applyNumberFormat="1" applyFont="1" applyFill="1" applyBorder="1" applyAlignment="1" applyProtection="1">
      <alignment horizontal="right" vertical="center" wrapText="1"/>
    </xf>
    <xf numFmtId="4" fontId="11" fillId="4" borderId="25" xfId="0" applyNumberFormat="1" applyFont="1" applyFill="1" applyBorder="1" applyAlignment="1" applyProtection="1">
      <alignment horizontal="right" vertical="center" wrapText="1"/>
    </xf>
    <xf numFmtId="4" fontId="11" fillId="4" borderId="64" xfId="0" applyNumberFormat="1" applyFont="1" applyFill="1" applyBorder="1" applyAlignment="1" applyProtection="1">
      <alignment horizontal="right" vertical="center" wrapText="1"/>
    </xf>
    <xf numFmtId="4" fontId="11" fillId="4" borderId="15" xfId="0" applyNumberFormat="1" applyFont="1" applyFill="1" applyBorder="1" applyAlignment="1" applyProtection="1">
      <alignment horizontal="right" vertical="center" wrapText="1"/>
    </xf>
    <xf numFmtId="4" fontId="5" fillId="2" borderId="2" xfId="0" applyNumberFormat="1" applyFont="1" applyFill="1" applyBorder="1" applyAlignment="1" applyProtection="1">
      <alignment horizontal="right" vertical="top"/>
    </xf>
    <xf numFmtId="4" fontId="4" fillId="2" borderId="2" xfId="0" applyNumberFormat="1" applyFont="1" applyFill="1" applyBorder="1" applyAlignment="1" applyProtection="1">
      <alignment horizontal="right" vertical="center"/>
    </xf>
    <xf numFmtId="49" fontId="11" fillId="7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7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right" vertical="center"/>
    </xf>
    <xf numFmtId="0" fontId="7" fillId="7" borderId="1" xfId="0" applyFont="1" applyFill="1" applyBorder="1" applyAlignment="1" applyProtection="1">
      <alignment horizontal="right" vertical="center"/>
    </xf>
    <xf numFmtId="0" fontId="12" fillId="7" borderId="2" xfId="0" applyFont="1" applyFill="1" applyBorder="1" applyAlignment="1" applyProtection="1">
      <alignment horizontal="center" vertical="center" wrapText="1"/>
    </xf>
    <xf numFmtId="49" fontId="11" fillId="7" borderId="30" xfId="1" applyNumberFormat="1" applyFont="1" applyFill="1" applyBorder="1" applyAlignment="1" applyProtection="1">
      <alignment vertical="center" wrapText="1"/>
    </xf>
    <xf numFmtId="49" fontId="11" fillId="7" borderId="28" xfId="1" applyNumberFormat="1" applyFont="1" applyFill="1" applyBorder="1" applyAlignment="1" applyProtection="1">
      <alignment vertical="center" wrapText="1"/>
    </xf>
    <xf numFmtId="49" fontId="11" fillId="7" borderId="35" xfId="1" applyNumberFormat="1" applyFont="1" applyFill="1" applyBorder="1" applyAlignment="1" applyProtection="1">
      <alignment vertical="center" wrapText="1"/>
    </xf>
    <xf numFmtId="49" fontId="11" fillId="7" borderId="55" xfId="1" applyNumberFormat="1" applyFont="1" applyFill="1" applyBorder="1" applyAlignment="1" applyProtection="1">
      <alignment horizontal="center" vertical="center" wrapText="1"/>
    </xf>
    <xf numFmtId="49" fontId="11" fillId="7" borderId="58" xfId="1" applyNumberFormat="1" applyFont="1" applyFill="1" applyBorder="1" applyAlignment="1" applyProtection="1">
      <alignment vertical="center" wrapText="1"/>
    </xf>
    <xf numFmtId="49" fontId="11" fillId="7" borderId="58" xfId="1" applyNumberFormat="1" applyFont="1" applyFill="1" applyBorder="1" applyAlignment="1" applyProtection="1">
      <alignment horizontal="left" vertical="center" wrapText="1"/>
    </xf>
    <xf numFmtId="49" fontId="11" fillId="7" borderId="65" xfId="1" applyNumberFormat="1" applyFont="1" applyFill="1" applyBorder="1" applyAlignment="1" applyProtection="1">
      <alignment vertical="center" wrapText="1"/>
    </xf>
    <xf numFmtId="49" fontId="11" fillId="7" borderId="53" xfId="1" applyNumberFormat="1" applyFont="1" applyFill="1" applyBorder="1" applyAlignment="1" applyProtection="1">
      <alignment vertical="center" wrapText="1"/>
    </xf>
    <xf numFmtId="4" fontId="22" fillId="0" borderId="28" xfId="0" applyNumberFormat="1" applyFont="1" applyFill="1" applyBorder="1" applyAlignment="1" applyProtection="1">
      <alignment horizontal="center" vertical="center"/>
      <protection locked="0"/>
    </xf>
    <xf numFmtId="4" fontId="22" fillId="0" borderId="2" xfId="0" applyNumberFormat="1" applyFont="1" applyFill="1" applyBorder="1" applyAlignment="1" applyProtection="1">
      <alignment horizontal="center" vertical="center"/>
      <protection locked="0"/>
    </xf>
    <xf numFmtId="4" fontId="22" fillId="0" borderId="29" xfId="0" applyNumberFormat="1" applyFont="1" applyFill="1" applyBorder="1" applyAlignment="1" applyProtection="1">
      <alignment horizontal="center" vertical="center"/>
      <protection locked="0"/>
    </xf>
    <xf numFmtId="4" fontId="22" fillId="0" borderId="5" xfId="0" applyNumberFormat="1" applyFont="1" applyFill="1" applyBorder="1" applyAlignment="1" applyProtection="1">
      <alignment horizontal="center" vertical="center"/>
      <protection locked="0"/>
    </xf>
    <xf numFmtId="4" fontId="4" fillId="2" borderId="58" xfId="1" applyNumberFormat="1" applyFont="1" applyFill="1" applyBorder="1" applyAlignment="1" applyProtection="1">
      <alignment horizontal="center" vertical="center" wrapText="1"/>
    </xf>
    <xf numFmtId="4" fontId="4" fillId="2" borderId="4" xfId="1" applyNumberFormat="1" applyFont="1" applyFill="1" applyBorder="1" applyAlignment="1" applyProtection="1">
      <alignment horizontal="center" vertical="center" wrapText="1"/>
    </xf>
    <xf numFmtId="4" fontId="4" fillId="2" borderId="33" xfId="1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5" fillId="2" borderId="33" xfId="0" applyNumberFormat="1" applyFont="1" applyFill="1" applyBorder="1" applyAlignment="1" applyProtection="1">
      <alignment horizontal="center" vertical="center"/>
    </xf>
    <xf numFmtId="4" fontId="11" fillId="2" borderId="58" xfId="1" applyNumberFormat="1" applyFont="1" applyFill="1" applyBorder="1" applyAlignment="1" applyProtection="1">
      <alignment horizontal="center" vertical="center" wrapText="1"/>
    </xf>
    <xf numFmtId="4" fontId="11" fillId="2" borderId="4" xfId="1" applyNumberFormat="1" applyFont="1" applyFill="1" applyBorder="1" applyAlignment="1" applyProtection="1">
      <alignment horizontal="center" vertical="center" wrapText="1"/>
    </xf>
    <xf numFmtId="4" fontId="11" fillId="2" borderId="33" xfId="1" applyNumberFormat="1" applyFont="1" applyFill="1" applyBorder="1" applyAlignment="1" applyProtection="1">
      <alignment horizontal="center" vertical="center" wrapText="1"/>
    </xf>
    <xf numFmtId="4" fontId="11" fillId="2" borderId="58" xfId="0" applyNumberFormat="1" applyFont="1" applyFill="1" applyBorder="1" applyAlignment="1" applyProtection="1">
      <alignment horizontal="center" vertical="center" wrapText="1"/>
    </xf>
    <xf numFmtId="4" fontId="11" fillId="2" borderId="4" xfId="0" applyNumberFormat="1" applyFont="1" applyFill="1" applyBorder="1" applyAlignment="1" applyProtection="1">
      <alignment horizontal="center" vertical="center" wrapText="1"/>
    </xf>
    <xf numFmtId="4" fontId="11" fillId="2" borderId="33" xfId="0" applyNumberFormat="1" applyFont="1" applyFill="1" applyBorder="1" applyAlignment="1" applyProtection="1">
      <alignment horizontal="center" vertical="center" wrapText="1"/>
    </xf>
    <xf numFmtId="4" fontId="25" fillId="2" borderId="58" xfId="0" applyNumberFormat="1" applyFont="1" applyFill="1" applyBorder="1" applyAlignment="1" applyProtection="1">
      <alignment horizontal="center" vertical="center" wrapText="1"/>
    </xf>
    <xf numFmtId="4" fontId="25" fillId="2" borderId="4" xfId="0" applyNumberFormat="1" applyFont="1" applyFill="1" applyBorder="1" applyAlignment="1" applyProtection="1">
      <alignment horizontal="center" vertical="center" wrapText="1"/>
    </xf>
    <xf numFmtId="4" fontId="25" fillId="2" borderId="33" xfId="0" applyNumberFormat="1" applyFont="1" applyFill="1" applyBorder="1" applyAlignment="1" applyProtection="1">
      <alignment horizontal="center" vertical="center" wrapText="1"/>
    </xf>
    <xf numFmtId="4" fontId="5" fillId="2" borderId="28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5" fillId="2" borderId="29" xfId="0" applyNumberFormat="1" applyFont="1" applyFill="1" applyBorder="1" applyAlignment="1" applyProtection="1">
      <alignment horizontal="center" vertical="center"/>
    </xf>
    <xf numFmtId="4" fontId="5" fillId="2" borderId="5" xfId="0" applyNumberFormat="1" applyFont="1" applyFill="1" applyBorder="1" applyAlignment="1" applyProtection="1">
      <alignment horizontal="center" vertical="center"/>
    </xf>
    <xf numFmtId="4" fontId="12" fillId="2" borderId="28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 applyProtection="1">
      <alignment horizontal="center" vertical="center"/>
    </xf>
    <xf numFmtId="4" fontId="12" fillId="2" borderId="29" xfId="0" applyNumberFormat="1" applyFont="1" applyFill="1" applyBorder="1" applyAlignment="1" applyProtection="1">
      <alignment horizontal="center" vertical="center"/>
    </xf>
    <xf numFmtId="49" fontId="7" fillId="3" borderId="55" xfId="1" applyNumberFormat="1" applyFont="1" applyFill="1" applyBorder="1" applyAlignment="1" applyProtection="1">
      <alignment horizontal="center" vertical="center" wrapText="1"/>
    </xf>
    <xf numFmtId="49" fontId="7" fillId="3" borderId="31" xfId="1" applyNumberFormat="1" applyFont="1" applyFill="1" applyBorder="1" applyAlignment="1" applyProtection="1">
      <alignment horizontal="center" vertical="center" wrapText="1"/>
    </xf>
    <xf numFmtId="49" fontId="7" fillId="3" borderId="32" xfId="1" applyNumberFormat="1" applyFont="1" applyFill="1" applyBorder="1" applyAlignment="1" applyProtection="1">
      <alignment horizontal="center" vertical="center" wrapText="1"/>
    </xf>
    <xf numFmtId="49" fontId="7" fillId="4" borderId="31" xfId="0" applyNumberFormat="1" applyFont="1" applyFill="1" applyBorder="1" applyAlignment="1" applyProtection="1">
      <alignment horizontal="center" vertical="center"/>
    </xf>
    <xf numFmtId="49" fontId="7" fillId="4" borderId="32" xfId="0" applyNumberFormat="1" applyFont="1" applyFill="1" applyBorder="1" applyAlignment="1" applyProtection="1">
      <alignment horizontal="center" vertical="center"/>
    </xf>
    <xf numFmtId="49" fontId="7" fillId="3" borderId="30" xfId="1" applyNumberFormat="1" applyFont="1" applyFill="1" applyBorder="1" applyAlignment="1" applyProtection="1">
      <alignment horizontal="center" vertical="center" wrapText="1"/>
    </xf>
    <xf numFmtId="49" fontId="7" fillId="3" borderId="38" xfId="1" applyNumberFormat="1" applyFont="1" applyFill="1" applyBorder="1" applyAlignment="1" applyProtection="1">
      <alignment horizontal="center" vertical="center" wrapText="1"/>
    </xf>
    <xf numFmtId="49" fontId="7" fillId="3" borderId="42" xfId="1" applyNumberFormat="1" applyFont="1" applyFill="1" applyBorder="1" applyAlignment="1" applyProtection="1">
      <alignment horizontal="center" vertical="center" wrapText="1"/>
    </xf>
    <xf numFmtId="49" fontId="7" fillId="4" borderId="18" xfId="0" applyNumberFormat="1" applyFont="1" applyFill="1" applyBorder="1" applyAlignment="1" applyProtection="1">
      <alignment horizontal="center" vertical="center"/>
    </xf>
    <xf numFmtId="49" fontId="7" fillId="4" borderId="38" xfId="0" applyNumberFormat="1" applyFont="1" applyFill="1" applyBorder="1" applyAlignment="1" applyProtection="1">
      <alignment horizontal="center" vertical="center"/>
    </xf>
    <xf numFmtId="49" fontId="7" fillId="4" borderId="42" xfId="0" applyNumberFormat="1" applyFont="1" applyFill="1" applyBorder="1" applyAlignment="1" applyProtection="1">
      <alignment horizontal="center" vertical="center"/>
    </xf>
    <xf numFmtId="4" fontId="21" fillId="0" borderId="46" xfId="0" applyNumberFormat="1" applyFont="1" applyFill="1" applyBorder="1" applyAlignment="1" applyProtection="1">
      <alignment horizontal="right" vertical="center"/>
      <protection locked="0"/>
    </xf>
    <xf numFmtId="4" fontId="21" fillId="0" borderId="48" xfId="0" applyNumberFormat="1" applyFont="1" applyFill="1" applyBorder="1" applyAlignment="1" applyProtection="1">
      <alignment horizontal="right" vertical="center"/>
      <protection locked="0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36" xfId="0" applyNumberFormat="1" applyFont="1" applyFill="1" applyBorder="1" applyAlignment="1" applyProtection="1">
      <alignment horizontal="right" vertical="center"/>
    </xf>
    <xf numFmtId="4" fontId="5" fillId="2" borderId="29" xfId="0" applyNumberFormat="1" applyFont="1" applyFill="1" applyBorder="1" applyAlignment="1" applyProtection="1">
      <alignment horizontal="right" vertical="center"/>
    </xf>
    <xf numFmtId="4" fontId="5" fillId="2" borderId="37" xfId="0" applyNumberFormat="1" applyFont="1" applyFill="1" applyBorder="1" applyAlignment="1" applyProtection="1">
      <alignment horizontal="right" vertical="center"/>
    </xf>
    <xf numFmtId="4" fontId="4" fillId="2" borderId="29" xfId="0" applyNumberFormat="1" applyFont="1" applyFill="1" applyBorder="1" applyAlignment="1" applyProtection="1">
      <alignment horizontal="right" vertical="center"/>
    </xf>
    <xf numFmtId="4" fontId="4" fillId="2" borderId="37" xfId="0" applyNumberFormat="1" applyFont="1" applyFill="1" applyBorder="1" applyAlignment="1" applyProtection="1">
      <alignment horizontal="right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4" fontId="4" fillId="2" borderId="36" xfId="0" applyNumberFormat="1" applyFont="1" applyFill="1" applyBorder="1" applyAlignment="1" applyProtection="1">
      <alignment horizontal="right" vertical="center"/>
    </xf>
    <xf numFmtId="3" fontId="11" fillId="0" borderId="17" xfId="1" applyNumberFormat="1" applyFont="1" applyFill="1" applyBorder="1" applyAlignment="1" applyProtection="1">
      <alignment horizontal="left" vertical="center"/>
    </xf>
    <xf numFmtId="3" fontId="11" fillId="0" borderId="31" xfId="1" applyNumberFormat="1" applyFont="1" applyFill="1" applyBorder="1" applyAlignment="1" applyProtection="1">
      <alignment horizontal="left" vertical="center"/>
    </xf>
    <xf numFmtId="3" fontId="4" fillId="0" borderId="3" xfId="1" applyNumberFormat="1" applyFont="1" applyFill="1" applyBorder="1" applyAlignment="1" applyProtection="1">
      <alignment horizontal="left" vertical="center" wrapText="1"/>
      <protection locked="0"/>
    </xf>
    <xf numFmtId="3" fontId="4" fillId="0" borderId="4" xfId="1" applyNumberFormat="1" applyFont="1" applyFill="1" applyBorder="1" applyAlignment="1" applyProtection="1">
      <alignment horizontal="left" vertical="center" wrapText="1"/>
      <protection locked="0"/>
    </xf>
    <xf numFmtId="3" fontId="4" fillId="0" borderId="33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3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  <protection locked="0"/>
    </xf>
    <xf numFmtId="0" fontId="22" fillId="0" borderId="4" xfId="0" applyFont="1" applyFill="1" applyBorder="1" applyAlignment="1" applyProtection="1">
      <alignment horizontal="left" vertical="center"/>
      <protection locked="0"/>
    </xf>
    <xf numFmtId="3" fontId="21" fillId="0" borderId="8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0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39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19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</xf>
    <xf numFmtId="3" fontId="11" fillId="0" borderId="55" xfId="1" applyNumberFormat="1" applyFont="1" applyFill="1" applyBorder="1" applyAlignment="1" applyProtection="1">
      <alignment horizontal="center" vertical="center" wrapText="1"/>
    </xf>
    <xf numFmtId="3" fontId="11" fillId="0" borderId="18" xfId="1" applyNumberFormat="1" applyFont="1" applyFill="1" applyBorder="1" applyAlignment="1" applyProtection="1">
      <alignment horizontal="center" vertical="center" wrapText="1"/>
    </xf>
    <xf numFmtId="0" fontId="21" fillId="0" borderId="39" xfId="0" applyFont="1" applyFill="1" applyBorder="1" applyAlignment="1" applyProtection="1">
      <alignment horizontal="center" vertical="center"/>
      <protection locked="0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</xf>
    <xf numFmtId="0" fontId="21" fillId="0" borderId="40" xfId="0" applyFont="1" applyFill="1" applyBorder="1" applyAlignment="1" applyProtection="1">
      <alignment horizontal="center" vertical="center"/>
      <protection locked="0"/>
    </xf>
    <xf numFmtId="4" fontId="21" fillId="0" borderId="43" xfId="0" applyNumberFormat="1" applyFont="1" applyFill="1" applyBorder="1" applyAlignment="1" applyProtection="1">
      <alignment horizontal="right" vertical="center"/>
      <protection locked="0"/>
    </xf>
    <xf numFmtId="14" fontId="22" fillId="0" borderId="46" xfId="0" applyNumberFormat="1" applyFont="1" applyFill="1" applyBorder="1" applyAlignment="1" applyProtection="1">
      <alignment horizontal="center" vertical="center"/>
      <protection locked="0"/>
    </xf>
    <xf numFmtId="14" fontId="22" fillId="0" borderId="12" xfId="0" applyNumberFormat="1" applyFont="1" applyFill="1" applyBorder="1" applyAlignment="1" applyProtection="1">
      <alignment horizontal="center" vertical="center"/>
      <protection locked="0"/>
    </xf>
    <xf numFmtId="14" fontId="22" fillId="0" borderId="47" xfId="0" applyNumberFormat="1" applyFont="1" applyFill="1" applyBorder="1" applyAlignment="1" applyProtection="1">
      <alignment horizontal="center" vertical="center"/>
      <protection locked="0"/>
    </xf>
    <xf numFmtId="14" fontId="22" fillId="0" borderId="28" xfId="0" applyNumberFormat="1" applyFont="1" applyFill="1" applyBorder="1" applyAlignment="1" applyProtection="1">
      <alignment horizontal="center" vertical="center"/>
      <protection locked="0"/>
    </xf>
    <xf numFmtId="14" fontId="22" fillId="0" borderId="2" xfId="0" applyNumberFormat="1" applyFont="1" applyFill="1" applyBorder="1" applyAlignment="1" applyProtection="1">
      <alignment horizontal="center" vertical="center"/>
      <protection locked="0"/>
    </xf>
    <xf numFmtId="14" fontId="22" fillId="0" borderId="29" xfId="0" applyNumberFormat="1" applyFont="1" applyFill="1" applyBorder="1" applyAlignment="1" applyProtection="1">
      <alignment horizontal="center" vertical="center"/>
      <protection locked="0"/>
    </xf>
    <xf numFmtId="4" fontId="29" fillId="2" borderId="61" xfId="0" applyNumberFormat="1" applyFont="1" applyFill="1" applyBorder="1" applyAlignment="1" applyProtection="1">
      <alignment horizontal="center" vertical="center" wrapText="1"/>
    </xf>
    <xf numFmtId="4" fontId="29" fillId="2" borderId="19" xfId="0" applyNumberFormat="1" applyFont="1" applyFill="1" applyBorder="1" applyAlignment="1" applyProtection="1">
      <alignment horizontal="center" vertical="center" wrapText="1"/>
    </xf>
    <xf numFmtId="4" fontId="29" fillId="2" borderId="41" xfId="0" applyNumberFormat="1" applyFont="1" applyFill="1" applyBorder="1" applyAlignment="1" applyProtection="1">
      <alignment horizontal="center" vertical="center" wrapText="1"/>
    </xf>
    <xf numFmtId="3" fontId="21" fillId="0" borderId="39" xfId="1" applyNumberFormat="1" applyFont="1" applyFill="1" applyBorder="1" applyAlignment="1" applyProtection="1">
      <alignment horizontal="center" vertical="center" wrapText="1"/>
      <protection locked="0"/>
    </xf>
    <xf numFmtId="3" fontId="21" fillId="0" borderId="40" xfId="1" applyNumberFormat="1" applyFont="1" applyFill="1" applyBorder="1" applyAlignment="1" applyProtection="1">
      <alignment horizontal="center" vertical="center" wrapText="1"/>
      <protection locked="0"/>
    </xf>
    <xf numFmtId="3" fontId="11" fillId="7" borderId="58" xfId="1" applyNumberFormat="1" applyFont="1" applyFill="1" applyBorder="1" applyAlignment="1" applyProtection="1">
      <alignment horizontal="left" vertical="center" wrapText="1"/>
    </xf>
    <xf numFmtId="4" fontId="21" fillId="0" borderId="28" xfId="0" applyNumberFormat="1" applyFont="1" applyFill="1" applyBorder="1" applyAlignment="1" applyProtection="1">
      <alignment horizontal="right" vertical="center"/>
      <protection locked="0"/>
    </xf>
    <xf numFmtId="49" fontId="11" fillId="7" borderId="59" xfId="1" applyNumberFormat="1" applyFont="1" applyFill="1" applyBorder="1" applyAlignment="1" applyProtection="1">
      <alignment horizontal="center" vertical="center" wrapText="1"/>
    </xf>
    <xf numFmtId="49" fontId="11" fillId="7" borderId="62" xfId="1" applyNumberFormat="1" applyFont="1" applyFill="1" applyBorder="1" applyAlignment="1" applyProtection="1">
      <alignment horizontal="center" vertical="center" wrapText="1"/>
    </xf>
    <xf numFmtId="3" fontId="11" fillId="7" borderId="61" xfId="1" applyNumberFormat="1" applyFont="1" applyFill="1" applyBorder="1" applyAlignment="1" applyProtection="1">
      <alignment horizontal="left" vertical="center" wrapText="1"/>
    </xf>
    <xf numFmtId="4" fontId="21" fillId="0" borderId="35" xfId="0" applyNumberFormat="1" applyFont="1" applyFill="1" applyBorder="1" applyAlignment="1" applyProtection="1">
      <alignment horizontal="right" vertical="center"/>
      <protection locked="0"/>
    </xf>
    <xf numFmtId="4" fontId="13" fillId="2" borderId="1" xfId="0" applyNumberFormat="1" applyFont="1" applyFill="1" applyBorder="1" applyAlignment="1" applyProtection="1">
      <alignment horizontal="center" vertical="center"/>
    </xf>
    <xf numFmtId="4" fontId="13" fillId="2" borderId="13" xfId="0" applyNumberFormat="1" applyFont="1" applyFill="1" applyBorder="1" applyAlignment="1" applyProtection="1">
      <alignment horizontal="center" vertical="center"/>
    </xf>
    <xf numFmtId="4" fontId="13" fillId="2" borderId="15" xfId="0" applyNumberFormat="1" applyFont="1" applyFill="1" applyBorder="1" applyAlignment="1" applyProtection="1">
      <alignment horizontal="center" vertical="center"/>
    </xf>
    <xf numFmtId="0" fontId="7" fillId="7" borderId="13" xfId="0" applyFont="1" applyFill="1" applyBorder="1" applyAlignment="1" applyProtection="1">
      <alignment horizontal="left" vertical="center" wrapText="1"/>
    </xf>
    <xf numFmtId="4" fontId="7" fillId="2" borderId="1" xfId="0" applyNumberFormat="1" applyFont="1" applyFill="1" applyBorder="1" applyAlignment="1" applyProtection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right" vertical="center"/>
    </xf>
    <xf numFmtId="4" fontId="5" fillId="2" borderId="54" xfId="0" applyNumberFormat="1" applyFont="1" applyFill="1" applyBorder="1" applyAlignment="1" applyProtection="1">
      <alignment horizontal="right" vertical="center"/>
    </xf>
    <xf numFmtId="4" fontId="5" fillId="2" borderId="27" xfId="0" applyNumberFormat="1" applyFont="1" applyFill="1" applyBorder="1" applyAlignment="1" applyProtection="1">
      <alignment horizontal="right" vertical="center"/>
    </xf>
    <xf numFmtId="4" fontId="5" fillId="2" borderId="26" xfId="0" applyNumberFormat="1" applyFont="1" applyFill="1" applyBorder="1" applyAlignment="1" applyProtection="1">
      <alignment horizontal="right" vertical="center"/>
    </xf>
    <xf numFmtId="49" fontId="7" fillId="3" borderId="1" xfId="0" applyNumberFormat="1" applyFont="1" applyFill="1" applyBorder="1" applyAlignment="1" applyProtection="1">
      <alignment horizontal="center" vertical="center"/>
    </xf>
    <xf numFmtId="49" fontId="7" fillId="3" borderId="13" xfId="0" applyNumberFormat="1" applyFont="1" applyFill="1" applyBorder="1" applyAlignment="1" applyProtection="1">
      <alignment horizontal="center" vertical="center"/>
    </xf>
    <xf numFmtId="49" fontId="7" fillId="3" borderId="15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4" borderId="13" xfId="0" applyNumberFormat="1" applyFont="1" applyFill="1" applyBorder="1" applyAlignment="1" applyProtection="1">
      <alignment horizontal="center"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49" fontId="13" fillId="7" borderId="13" xfId="0" applyNumberFormat="1" applyFont="1" applyFill="1" applyBorder="1" applyAlignment="1" applyProtection="1">
      <alignment horizontal="left" vertical="center"/>
    </xf>
    <xf numFmtId="49" fontId="13" fillId="7" borderId="15" xfId="0" applyNumberFormat="1" applyFont="1" applyFill="1" applyBorder="1" applyAlignment="1" applyProtection="1">
      <alignment horizontal="left" vertical="center"/>
    </xf>
    <xf numFmtId="3" fontId="11" fillId="7" borderId="2" xfId="1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13" xfId="0" applyNumberFormat="1" applyFont="1" applyFill="1" applyBorder="1" applyAlignment="1" applyProtection="1">
      <alignment horizontal="left" vertical="center"/>
      <protection locked="0"/>
    </xf>
    <xf numFmtId="49" fontId="12" fillId="2" borderId="15" xfId="0" applyNumberFormat="1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49" fontId="7" fillId="3" borderId="3" xfId="1" applyNumberFormat="1" applyFont="1" applyFill="1" applyBorder="1" applyAlignment="1" applyProtection="1">
      <alignment horizontal="center" vertical="center"/>
    </xf>
    <xf numFmtId="49" fontId="7" fillId="3" borderId="5" xfId="1" applyNumberFormat="1" applyFont="1" applyFill="1" applyBorder="1" applyAlignment="1" applyProtection="1">
      <alignment horizontal="center" vertical="center"/>
    </xf>
    <xf numFmtId="4" fontId="24" fillId="2" borderId="3" xfId="0" applyNumberFormat="1" applyFont="1" applyFill="1" applyBorder="1" applyAlignment="1" applyProtection="1">
      <alignment horizontal="right" vertical="top"/>
    </xf>
    <xf numFmtId="4" fontId="24" fillId="2" borderId="5" xfId="0" applyNumberFormat="1" applyFont="1" applyFill="1" applyBorder="1" applyAlignment="1" applyProtection="1">
      <alignment horizontal="right" vertical="top"/>
    </xf>
    <xf numFmtId="4" fontId="13" fillId="2" borderId="3" xfId="0" applyNumberFormat="1" applyFont="1" applyFill="1" applyBorder="1" applyAlignment="1" applyProtection="1">
      <alignment horizontal="right" vertical="center"/>
    </xf>
    <xf numFmtId="4" fontId="13" fillId="2" borderId="5" xfId="0" applyNumberFormat="1" applyFont="1" applyFill="1" applyBorder="1" applyAlignment="1" applyProtection="1">
      <alignment horizontal="right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49" fontId="7" fillId="4" borderId="3" xfId="1" applyNumberFormat="1" applyFont="1" applyFill="1" applyBorder="1" applyAlignment="1" applyProtection="1">
      <alignment horizontal="center" vertical="center"/>
    </xf>
    <xf numFmtId="49" fontId="7" fillId="4" borderId="5" xfId="1" applyNumberFormat="1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4" fontId="13" fillId="7" borderId="13" xfId="0" applyNumberFormat="1" applyFont="1" applyFill="1" applyBorder="1" applyAlignment="1" applyProtection="1">
      <alignment horizontal="left" vertical="center"/>
    </xf>
    <xf numFmtId="49" fontId="7" fillId="3" borderId="0" xfId="0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39" xfId="0" applyNumberFormat="1" applyFont="1" applyFill="1" applyBorder="1" applyAlignment="1" applyProtection="1">
      <alignment vertical="center"/>
      <protection locked="0"/>
    </xf>
    <xf numFmtId="49" fontId="5" fillId="0" borderId="41" xfId="0" applyNumberFormat="1" applyFont="1" applyFill="1" applyBorder="1" applyAlignment="1" applyProtection="1">
      <alignment vertical="center"/>
      <protection locked="0"/>
    </xf>
    <xf numFmtId="49" fontId="11" fillId="0" borderId="0" xfId="1" applyNumberFormat="1" applyFont="1" applyBorder="1" applyAlignment="1" applyProtection="1">
      <alignment horizontal="left" vertical="center" wrapText="1"/>
      <protection locked="0"/>
    </xf>
    <xf numFmtId="49" fontId="11" fillId="0" borderId="0" xfId="1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23" xfId="0" applyNumberFormat="1" applyFont="1" applyFill="1" applyBorder="1" applyAlignment="1" applyProtection="1">
      <alignment vertical="center"/>
      <protection locked="0"/>
    </xf>
    <xf numFmtId="49" fontId="12" fillId="6" borderId="15" xfId="0" applyNumberFormat="1" applyFont="1" applyFill="1" applyBorder="1" applyAlignment="1" applyProtection="1">
      <alignment vertical="center"/>
      <protection locked="0"/>
    </xf>
    <xf numFmtId="49" fontId="5" fillId="0" borderId="17" xfId="0" applyNumberFormat="1" applyFont="1" applyFill="1" applyBorder="1" applyAlignment="1" applyProtection="1">
      <alignment vertical="center"/>
      <protection locked="0"/>
    </xf>
    <xf numFmtId="49" fontId="5" fillId="0" borderId="32" xfId="0" applyNumberFormat="1" applyFont="1" applyFill="1" applyBorder="1" applyAlignment="1" applyProtection="1">
      <alignment vertical="center"/>
      <protection locked="0"/>
    </xf>
    <xf numFmtId="49" fontId="11" fillId="6" borderId="13" xfId="0" applyNumberFormat="1" applyFont="1" applyFill="1" applyBorder="1" applyAlignment="1" applyProtection="1">
      <alignment vertical="center"/>
      <protection locked="0"/>
    </xf>
    <xf numFmtId="49" fontId="11" fillId="6" borderId="15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7" xfId="0" applyNumberFormat="1" applyFont="1" applyFill="1" applyBorder="1" applyAlignment="1" applyProtection="1">
      <alignment horizontal="left" vertical="center"/>
      <protection locked="0"/>
    </xf>
    <xf numFmtId="49" fontId="5" fillId="0" borderId="32" xfId="0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33" xfId="1" applyNumberFormat="1" applyFont="1" applyFill="1" applyBorder="1" applyAlignment="1" applyProtection="1">
      <alignment horizontal="left" vertical="center"/>
      <protection locked="0"/>
    </xf>
    <xf numFmtId="49" fontId="11" fillId="0" borderId="9" xfId="1" applyNumberFormat="1" applyFont="1" applyFill="1" applyBorder="1" applyAlignment="1" applyProtection="1">
      <alignment horizontal="left" vertical="center"/>
    </xf>
    <xf numFmtId="49" fontId="12" fillId="2" borderId="13" xfId="0" applyNumberFormat="1" applyFont="1" applyFill="1" applyBorder="1" applyAlignment="1" applyProtection="1">
      <alignment vertical="center"/>
      <protection locked="0"/>
    </xf>
    <xf numFmtId="49" fontId="12" fillId="2" borderId="15" xfId="0" applyNumberFormat="1" applyFont="1" applyFill="1" applyBorder="1" applyAlignment="1" applyProtection="1">
      <alignment vertical="center"/>
      <protection locked="0"/>
    </xf>
    <xf numFmtId="49" fontId="11" fillId="6" borderId="13" xfId="1" applyNumberFormat="1" applyFont="1" applyFill="1" applyBorder="1" applyAlignment="1" applyProtection="1">
      <alignment horizontal="left" vertical="center"/>
      <protection locked="0"/>
    </xf>
    <xf numFmtId="49" fontId="11" fillId="6" borderId="15" xfId="1" applyNumberFormat="1" applyFont="1" applyFill="1" applyBorder="1" applyAlignment="1" applyProtection="1">
      <alignment horizontal="left" vertical="center"/>
      <protection locked="0"/>
    </xf>
    <xf numFmtId="49" fontId="4" fillId="0" borderId="17" xfId="1" applyNumberFormat="1" applyFont="1" applyFill="1" applyBorder="1" applyAlignment="1" applyProtection="1">
      <alignment horizontal="left" vertical="center"/>
      <protection locked="0"/>
    </xf>
    <xf numFmtId="49" fontId="4" fillId="0" borderId="32" xfId="1" applyNumberFormat="1" applyFont="1" applyFill="1" applyBorder="1" applyAlignment="1" applyProtection="1">
      <alignment horizontal="left" vertical="center"/>
      <protection locked="0"/>
    </xf>
    <xf numFmtId="49" fontId="12" fillId="6" borderId="23" xfId="0" applyNumberFormat="1" applyFont="1" applyFill="1" applyBorder="1" applyAlignment="1" applyProtection="1">
      <alignment horizontal="left" vertical="center"/>
      <protection locked="0"/>
    </xf>
    <xf numFmtId="49" fontId="12" fillId="6" borderId="15" xfId="0" applyNumberFormat="1" applyFont="1" applyFill="1" applyBorder="1" applyAlignment="1" applyProtection="1">
      <alignment horizontal="left" vertical="center"/>
      <protection locked="0"/>
    </xf>
    <xf numFmtId="49" fontId="12" fillId="2" borderId="9" xfId="0" applyNumberFormat="1" applyFont="1" applyFill="1" applyBorder="1" applyAlignment="1" applyProtection="1">
      <alignment horizontal="left" vertical="center"/>
      <protection locked="0"/>
    </xf>
    <xf numFmtId="49" fontId="12" fillId="2" borderId="50" xfId="0" applyNumberFormat="1" applyFont="1" applyFill="1" applyBorder="1" applyAlignment="1" applyProtection="1">
      <alignment horizontal="left" vertical="center"/>
      <protection locked="0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0" fontId="7" fillId="4" borderId="38" xfId="0" applyFont="1" applyFill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49" fontId="4" fillId="0" borderId="33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49" fontId="5" fillId="0" borderId="33" xfId="0" applyNumberFormat="1" applyFont="1" applyFill="1" applyBorder="1" applyAlignment="1" applyProtection="1">
      <alignment vertical="center" wrapText="1"/>
      <protection locked="0"/>
    </xf>
    <xf numFmtId="49" fontId="18" fillId="0" borderId="3" xfId="0" applyNumberFormat="1" applyFont="1" applyFill="1" applyBorder="1" applyAlignment="1" applyProtection="1">
      <alignment horizontal="left" vertical="center"/>
      <protection locked="0"/>
    </xf>
    <xf numFmtId="49" fontId="18" fillId="0" borderId="33" xfId="0" applyNumberFormat="1" applyFont="1" applyFill="1" applyBorder="1" applyAlignment="1" applyProtection="1">
      <alignment horizontal="left" vertical="center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49" fontId="12" fillId="6" borderId="1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4" fillId="0" borderId="17" xfId="0" applyNumberFormat="1" applyFont="1" applyFill="1" applyBorder="1" applyAlignment="1" applyProtection="1">
      <alignment horizontal="left" vertical="center"/>
    </xf>
    <xf numFmtId="49" fontId="4" fillId="0" borderId="31" xfId="0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49" fontId="7" fillId="0" borderId="1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vertical="center"/>
    </xf>
    <xf numFmtId="49" fontId="4" fillId="0" borderId="4" xfId="0" applyNumberFormat="1" applyFont="1" applyFill="1" applyBorder="1" applyAlignment="1" applyProtection="1">
      <alignment vertical="center"/>
    </xf>
    <xf numFmtId="49" fontId="14" fillId="0" borderId="3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14" fillId="0" borderId="17" xfId="0" applyNumberFormat="1" applyFont="1" applyFill="1" applyBorder="1" applyAlignment="1" applyProtection="1">
      <alignment vertical="center"/>
    </xf>
    <xf numFmtId="49" fontId="14" fillId="0" borderId="31" xfId="0" applyNumberFormat="1" applyFont="1" applyFill="1" applyBorder="1" applyAlignment="1" applyProtection="1">
      <alignment vertical="center"/>
    </xf>
    <xf numFmtId="0" fontId="13" fillId="0" borderId="5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60" xfId="0" applyFont="1" applyFill="1" applyBorder="1" applyAlignment="1" applyProtection="1">
      <alignment horizontal="center" vertical="center"/>
      <protection locked="0"/>
    </xf>
    <xf numFmtId="0" fontId="13" fillId="0" borderId="53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50" xfId="0" applyFont="1" applyFill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9" fontId="14" fillId="0" borderId="7" xfId="0" applyNumberFormat="1" applyFont="1" applyBorder="1" applyAlignment="1" applyProtection="1">
      <alignment horizontal="left" vertical="center" wrapText="1"/>
      <protection locked="0"/>
    </xf>
    <xf numFmtId="49" fontId="14" fillId="0" borderId="34" xfId="0" applyNumberFormat="1" applyFont="1" applyBorder="1" applyAlignment="1" applyProtection="1">
      <alignment horizontal="left" vertical="center" wrapText="1"/>
      <protection locked="0"/>
    </xf>
    <xf numFmtId="4" fontId="7" fillId="3" borderId="67" xfId="0" applyNumberFormat="1" applyFont="1" applyFill="1" applyBorder="1" applyAlignment="1" applyProtection="1">
      <alignment horizontal="center" vertical="center" wrapText="1"/>
    </xf>
    <xf numFmtId="4" fontId="7" fillId="4" borderId="67" xfId="0" applyNumberFormat="1" applyFont="1" applyFill="1" applyBorder="1" applyAlignment="1" applyProtection="1">
      <alignment horizontal="center" vertical="center" wrapText="1"/>
    </xf>
    <xf numFmtId="49" fontId="19" fillId="0" borderId="0" xfId="1" applyNumberFormat="1" applyFont="1" applyFill="1" applyBorder="1" applyAlignment="1" applyProtection="1">
      <alignment horizontal="center" vertical="center"/>
    </xf>
    <xf numFmtId="3" fontId="11" fillId="3" borderId="12" xfId="1" applyNumberFormat="1" applyFont="1" applyFill="1" applyBorder="1" applyAlignment="1" applyProtection="1">
      <alignment horizontal="left" vertical="center" wrapText="1"/>
    </xf>
    <xf numFmtId="3" fontId="11" fillId="3" borderId="16" xfId="1" applyNumberFormat="1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4" fontId="5" fillId="2" borderId="16" xfId="0" applyNumberFormat="1" applyFont="1" applyFill="1" applyBorder="1" applyAlignment="1" applyProtection="1">
      <alignment horizontal="right" vertical="center"/>
    </xf>
    <xf numFmtId="3" fontId="11" fillId="4" borderId="12" xfId="1" applyNumberFormat="1" applyFont="1" applyFill="1" applyBorder="1" applyAlignment="1" applyProtection="1">
      <alignment horizontal="left" vertical="center" wrapText="1"/>
    </xf>
    <xf numFmtId="3" fontId="11" fillId="4" borderId="16" xfId="1" applyNumberFormat="1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 xr:uid="{3FAE83E4-D3B3-4CFD-9616-19D7B855D5FF}"/>
  </cellStyles>
  <dxfs count="2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9" formatCode="dd/mm/yyyy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protection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protection locked="1" hidden="0"/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62B3E6BF-9139-4AEC-BC77-114759429D62}">
      <tableStyleElement type="secondRowStripe" dxfId="211"/>
    </tableStyle>
  </tableStyles>
  <colors>
    <mruColors>
      <color rgb="FFFF0000"/>
      <color rgb="FF009900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14AC3D-7438-4224-A1D7-FDD321E9BB71}" name="Naklady" displayName="Naklady" ref="D23:L86" totalsRowShown="0" headerRowDxfId="156" dataDxfId="155" tableBorderDxfId="154">
  <tableColumns count="9">
    <tableColumn id="1" xr3:uid="{492B5506-A00A-4A97-8DCF-AB905752CC65}" name="Bez DPH 2022" dataDxfId="153"/>
    <tableColumn id="2" xr3:uid="{8996BAB4-6363-4020-AFCB-DE14D27C14D1}" name="DPH 2022" dataDxfId="152"/>
    <tableColumn id="3" xr3:uid="{9CB442ED-4A31-4D8E-8275-CBE247F06569}" name="Celkem 2022" dataDxfId="151">
      <calculatedColumnFormula>SUM(D24:E24)</calculatedColumnFormula>
    </tableColumn>
    <tableColumn id="7" xr3:uid="{3A55D26A-7091-4F7A-B49C-EFB6BCD55B9A}" name="Z toho čerpáno z dotace 2022" dataDxfId="150"/>
    <tableColumn id="10" xr3:uid="{AB6BBB67-1231-4B0F-BA5F-AD57E512261E}" name="Bez DPH 2023" dataDxfId="149"/>
    <tableColumn id="9" xr3:uid="{E6323F56-1A13-43E6-980E-0431411016B8}" name="DPH 2023" dataDxfId="148"/>
    <tableColumn id="8" xr3:uid="{ABE3A4DE-078A-4021-9541-33BCD58E72A3}" name="Celkem 2023" dataDxfId="147"/>
    <tableColumn id="4" xr3:uid="{323C17B3-DB3A-45C7-8D5B-B90D6980907C}" name="Z toho čerpáno z dotace 2023" dataDxfId="146"/>
    <tableColumn id="6" xr3:uid="{206F8180-AC96-4048-81D0-3550C6B41450}" name="Kontrola 1" dataDxfId="145">
      <calculatedColumnFormula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E40657-3608-4AED-B3F1-0E06AEB55B3F}" name="Tabulka10579" displayName="Tabulka10579" ref="D3:F27" totalsRowShown="0" headerRowDxfId="142" dataDxfId="141" tableBorderDxfId="140">
  <tableColumns count="3">
    <tableColumn id="1" xr3:uid="{BA5FFBA8-7B99-479E-B043-BE22FB3EDCD6}" name="Bez DPH" dataDxfId="139"/>
    <tableColumn id="2" xr3:uid="{92C46F2C-CC4C-4B34-A970-F49FC27992F5}" name="DPH" dataDxfId="138"/>
    <tableColumn id="3" xr3:uid="{EBE3FA13-A50E-44FA-ABAB-5B5CB6EECF91}" name="Celkem" dataDxfId="137">
      <calculatedColumnFormula>SUM(D4:E4)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5C7283-B45A-49E4-9588-8085363069DF}" name="Tabulka105792" displayName="Tabulka105792" ref="G3:I27" totalsRowCount="1" headerRowDxfId="136" dataDxfId="135" totalsRowDxfId="133" tableBorderDxfId="134">
  <tableColumns count="3">
    <tableColumn id="1" xr3:uid="{8DDE5061-58E5-4F47-A387-DF78EB7FCF2A}" name="Bez DPH" dataDxfId="132" totalsRowDxfId="131"/>
    <tableColumn id="2" xr3:uid="{B83F6DC3-68E0-43E0-85F2-9C3B081E50FD}" name="DPH" dataDxfId="130" totalsRowDxfId="129"/>
    <tableColumn id="3" xr3:uid="{468B7E09-F4F0-444E-BBA6-28C61421F3C8}" name="Celkem" totalsRowFunction="custom" dataDxfId="128" totalsRowDxfId="127">
      <calculatedColumnFormula>SUM(G4:H4)</calculatedColumnFormula>
      <totalsRowFormula>SUM(Tabulka105792[[#Totals],[Bez DPH]:[DPH]])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904395-C735-41C0-B0AC-55B881E80BE9}" name="Seznam_dokladu" displayName="Seznam_dokladu" ref="A29:M93" totalsRowShown="0" headerRowDxfId="126" dataDxfId="124" headerRowBorderDxfId="125" tableBorderDxfId="123">
  <autoFilter ref="A29:M93" xr:uid="{4F0D77C3-7776-401D-B228-756CA256854D}"/>
  <tableColumns count="13">
    <tableColumn id="1" xr3:uid="{622641F3-BD00-4275-B307-2377880F49C6}" name="Č." dataDxfId="122">
      <calculatedColumnFormula>ROW()-29</calculatedColumnFormula>
    </tableColumn>
    <tableColumn id="2" xr3:uid="{8AFD6985-9252-4C49-BED3-C6EB8F6A29D2}" name="Číslo účetního dokladu_x000a_(nikoli č. pořadové)" dataDxfId="121"/>
    <tableColumn id="3" xr3:uid="{045B0A7C-A152-42E6-B58A-8CC320184352}" name="Druh prvotního dokladu (faktura, prac. sml., DPP/DPČ, sml. o dílo ad.)" dataDxfId="120"/>
    <tableColumn id="4" xr3:uid="{010B2EC4-B074-4CCD-8A06-2B5B2DBD7EA3}" name="Dodavatel / zaměstnanec_x000a_(komu bylo hrazeno)" dataDxfId="119"/>
    <tableColumn id="6" xr3:uid="{28CFFE54-37B0-405A-9F51-660B7E08C1F5}" name="Účel_x000a_(za co by hrazeno, předmět plnění)" dataDxfId="118"/>
    <tableColumn id="7" xr3:uid="{69AD97BE-1774-43FA-85B2-849F1C30185D}" name="Kód položky struktury dotace_x000a_(I / II / III / IV)" dataDxfId="117"/>
    <tableColumn id="8" xr3:uid="{0CF55A1B-AC07-461F-BD8E-F213FA0AF21E}" name="Datum úhrady_x000a_(datum odečtení z účtu)" dataDxfId="116"/>
    <tableColumn id="9" xr3:uid="{B8C9E387-D6B7-4076-AC70-123D6E9DF15D}" name="Částka bez DPH" dataDxfId="115"/>
    <tableColumn id="10" xr3:uid="{5B70AFEC-F059-41D6-BEB4-088F1B574E5A}" name="DPH" dataDxfId="114"/>
    <tableColumn id="5" xr3:uid="{928DBFD8-BA9F-4770-A53B-9AFBB0300DB6}" name="Částka celkem" dataDxfId="113">
      <calculatedColumnFormula>SUM(Seznam_dokladu[[#This Row],[Částka bez DPH]:[DPH]])</calculatedColumnFormula>
    </tableColumn>
    <tableColumn id="13" xr3:uid="{8A1774A4-2ED0-4EEC-B71E-34EFFF70FEC2}" name="Hrazeno z dotace 2022" dataDxfId="112"/>
    <tableColumn id="11" xr3:uid="{2E3AE4E6-F1C7-491C-9833-7E6A83F9BCE5}" name="Hrazeno z dotace 2023" dataDxfId="111"/>
    <tableColumn id="12" xr3:uid="{BAEC398D-29EB-44F7-BDF5-AD09210665E6}" name="Kontrola" dataDxfId="110">
      <calculatedColumnFormula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775E-115D-4710-87D2-A9AB58B77697}">
  <dimension ref="A1:L40"/>
  <sheetViews>
    <sheetView showGridLines="0" zoomScale="80" zoomScaleNormal="80" workbookViewId="0">
      <selection activeCell="C5" sqref="C5:H5"/>
    </sheetView>
  </sheetViews>
  <sheetFormatPr defaultColWidth="9.1796875" defaultRowHeight="14" x14ac:dyDescent="0.35"/>
  <cols>
    <col min="1" max="1" width="4.81640625" style="189" customWidth="1"/>
    <col min="2" max="2" width="27.54296875" style="206" customWidth="1"/>
    <col min="3" max="3" width="33.54296875" style="203" customWidth="1"/>
    <col min="4" max="4" width="22" style="207" customWidth="1"/>
    <col min="5" max="5" width="21.54296875" style="207" customWidth="1"/>
    <col min="6" max="6" width="31.26953125" style="207" customWidth="1"/>
    <col min="7" max="7" width="24.453125" style="208" customWidth="1"/>
    <col min="8" max="8" width="24.54296875" style="175" customWidth="1"/>
    <col min="9" max="9" width="43.26953125" style="175" customWidth="1"/>
    <col min="10" max="10" width="25.7265625" style="175" customWidth="1"/>
    <col min="11" max="16384" width="9.1796875" style="175"/>
  </cols>
  <sheetData>
    <row r="1" spans="1:9" ht="20" x14ac:dyDescent="0.35">
      <c r="A1" s="187"/>
      <c r="B1" s="187" t="s">
        <v>206</v>
      </c>
      <c r="C1" s="188"/>
      <c r="D1" s="40"/>
      <c r="E1" s="40"/>
      <c r="F1" s="40"/>
      <c r="G1" s="78"/>
    </row>
    <row r="2" spans="1:9" x14ac:dyDescent="0.35">
      <c r="B2" s="190"/>
      <c r="C2" s="191"/>
      <c r="D2" s="40"/>
      <c r="E2" s="40"/>
      <c r="F2" s="40"/>
      <c r="G2" s="192"/>
    </row>
    <row r="3" spans="1:9" ht="20.149999999999999" customHeight="1" x14ac:dyDescent="0.35">
      <c r="A3" s="193"/>
      <c r="B3" s="275" t="s">
        <v>133</v>
      </c>
      <c r="C3" s="329" t="s">
        <v>125</v>
      </c>
      <c r="D3" s="330"/>
      <c r="E3" s="330"/>
      <c r="F3" s="330"/>
      <c r="G3" s="330"/>
      <c r="H3" s="330"/>
      <c r="I3" s="194"/>
    </row>
    <row r="4" spans="1:9" ht="20.149999999999999" customHeight="1" x14ac:dyDescent="0.35">
      <c r="B4" s="276" t="s">
        <v>158</v>
      </c>
      <c r="C4" s="331" t="s">
        <v>194</v>
      </c>
      <c r="D4" s="332"/>
      <c r="E4" s="332"/>
      <c r="F4" s="332"/>
      <c r="G4" s="332"/>
      <c r="H4" s="333"/>
    </row>
    <row r="5" spans="1:9" ht="20.149999999999999" customHeight="1" x14ac:dyDescent="0.35">
      <c r="A5" s="193"/>
      <c r="B5" s="276" t="s">
        <v>11</v>
      </c>
      <c r="C5" s="334" t="s">
        <v>317</v>
      </c>
      <c r="D5" s="335"/>
      <c r="E5" s="335"/>
      <c r="F5" s="335"/>
      <c r="G5" s="335"/>
      <c r="H5" s="335"/>
      <c r="I5" s="194"/>
    </row>
    <row r="6" spans="1:9" ht="26" x14ac:dyDescent="0.35">
      <c r="A6" s="195"/>
      <c r="B6" s="276" t="s">
        <v>166</v>
      </c>
      <c r="C6" s="336" t="s">
        <v>157</v>
      </c>
      <c r="D6" s="337"/>
      <c r="E6" s="337"/>
      <c r="F6" s="337"/>
      <c r="G6" s="337"/>
      <c r="H6" s="337"/>
      <c r="I6" s="194"/>
    </row>
    <row r="7" spans="1:9" ht="20.149999999999999" customHeight="1" x14ac:dyDescent="0.35">
      <c r="A7" s="193"/>
      <c r="B7" s="276" t="s">
        <v>12</v>
      </c>
      <c r="C7" s="334" t="s">
        <v>207</v>
      </c>
      <c r="D7" s="335"/>
      <c r="E7" s="335"/>
      <c r="F7" s="335"/>
      <c r="G7" s="335"/>
      <c r="H7" s="335"/>
      <c r="I7" s="194"/>
    </row>
    <row r="8" spans="1:9" ht="20.149999999999999" customHeight="1" x14ac:dyDescent="0.35">
      <c r="A8" s="193"/>
      <c r="B8" s="276" t="s">
        <v>13</v>
      </c>
      <c r="C8" s="334">
        <v>213000999</v>
      </c>
      <c r="D8" s="335"/>
      <c r="E8" s="335"/>
      <c r="F8" s="335"/>
      <c r="G8" s="335"/>
      <c r="H8" s="335"/>
      <c r="I8" s="194"/>
    </row>
    <row r="9" spans="1:9" ht="24" customHeight="1" x14ac:dyDescent="0.35">
      <c r="B9" s="276" t="s">
        <v>14</v>
      </c>
      <c r="C9" s="334" t="s">
        <v>6</v>
      </c>
      <c r="D9" s="335"/>
      <c r="E9" s="335"/>
      <c r="F9" s="335"/>
      <c r="G9" s="335"/>
      <c r="H9" s="335"/>
      <c r="I9" s="194"/>
    </row>
    <row r="10" spans="1:9" ht="20.149999999999999" customHeight="1" x14ac:dyDescent="0.35">
      <c r="B10" s="276" t="s">
        <v>138</v>
      </c>
      <c r="C10" s="338" t="s">
        <v>208</v>
      </c>
      <c r="D10" s="339"/>
      <c r="E10" s="339"/>
      <c r="F10" s="339"/>
      <c r="G10" s="339"/>
      <c r="H10" s="339"/>
      <c r="I10" s="194"/>
    </row>
    <row r="11" spans="1:9" ht="26" x14ac:dyDescent="0.35">
      <c r="B11" s="277" t="s">
        <v>134</v>
      </c>
      <c r="C11" s="340" t="s">
        <v>209</v>
      </c>
      <c r="D11" s="341"/>
      <c r="E11" s="341"/>
      <c r="F11" s="341"/>
      <c r="G11" s="341"/>
      <c r="H11" s="341"/>
      <c r="I11" s="194"/>
    </row>
    <row r="12" spans="1:9" x14ac:dyDescent="0.35">
      <c r="B12" s="196"/>
      <c r="C12" s="197"/>
      <c r="D12" s="197"/>
      <c r="E12" s="197"/>
      <c r="F12" s="197"/>
      <c r="G12" s="197"/>
    </row>
    <row r="13" spans="1:9" ht="14.5" customHeight="1" x14ac:dyDescent="0.35">
      <c r="B13" s="198"/>
      <c r="C13" s="344" t="s">
        <v>124</v>
      </c>
      <c r="D13" s="345"/>
      <c r="E13" s="342" t="s">
        <v>122</v>
      </c>
      <c r="F13" s="348"/>
      <c r="G13" s="342" t="s">
        <v>123</v>
      </c>
      <c r="H13" s="343"/>
      <c r="I13" s="194"/>
    </row>
    <row r="14" spans="1:9" ht="26" x14ac:dyDescent="0.35">
      <c r="B14" s="199" t="s">
        <v>121</v>
      </c>
      <c r="C14" s="360" t="s">
        <v>210</v>
      </c>
      <c r="D14" s="361"/>
      <c r="E14" s="346" t="s">
        <v>295</v>
      </c>
      <c r="F14" s="349"/>
      <c r="G14" s="346">
        <v>123456789</v>
      </c>
      <c r="H14" s="347"/>
      <c r="I14" s="194"/>
    </row>
    <row r="15" spans="1:9" x14ac:dyDescent="0.35">
      <c r="B15" s="200"/>
      <c r="C15" s="201"/>
      <c r="D15" s="202"/>
      <c r="E15" s="202"/>
      <c r="F15" s="202"/>
      <c r="G15" s="202"/>
    </row>
    <row r="16" spans="1:9" ht="25" customHeight="1" x14ac:dyDescent="0.35">
      <c r="B16" s="364"/>
      <c r="C16" s="313">
        <v>2022</v>
      </c>
      <c r="D16" s="314"/>
      <c r="E16" s="315"/>
      <c r="F16" s="316">
        <v>2023</v>
      </c>
      <c r="G16" s="317"/>
      <c r="H16" s="318"/>
    </row>
    <row r="17" spans="2:12" ht="42.65" customHeight="1" x14ac:dyDescent="0.35">
      <c r="B17" s="365"/>
      <c r="C17" s="249" t="s">
        <v>165</v>
      </c>
      <c r="D17" s="66" t="s">
        <v>152</v>
      </c>
      <c r="E17" s="250" t="s">
        <v>153</v>
      </c>
      <c r="F17" s="251" t="s">
        <v>165</v>
      </c>
      <c r="G17" s="62" t="s">
        <v>152</v>
      </c>
      <c r="H17" s="252" t="s">
        <v>153</v>
      </c>
    </row>
    <row r="18" spans="2:12" ht="14.5" customHeight="1" x14ac:dyDescent="0.35">
      <c r="B18" s="362" t="s">
        <v>127</v>
      </c>
      <c r="C18" s="363">
        <v>200000</v>
      </c>
      <c r="D18" s="327">
        <f>'2. Náklady'!F8</f>
        <v>200000</v>
      </c>
      <c r="E18" s="325">
        <f>'4. Seznam dokladů'!H7</f>
        <v>200000</v>
      </c>
      <c r="F18" s="319">
        <v>300000</v>
      </c>
      <c r="G18" s="321">
        <f>'2. Náklady'!J8</f>
        <v>284000</v>
      </c>
      <c r="H18" s="323">
        <f>'4. Seznam dokladů'!H20</f>
        <v>284000</v>
      </c>
      <c r="I18" s="203" t="str">
        <f>_xlfn.IFS(D18&gt;C18,"Čerpání dotace nesmí být vyšší než je max. výše stanovená v rozhodnutí.",E18&gt;C18,"Čerpání dotace nesmí být vyšší než je max. výše stanovená v rozhodnutí.",TRUE," ")</f>
        <v xml:space="preserve"> </v>
      </c>
      <c r="J18" s="203" t="str">
        <f>_xlfn.IFS(G18&gt;F18,"Čerpání dotace nesmí být vyšší než je max. výše stanovená v rozhodnutí.",H18&gt;F18,"Čerpání dotace nesmí být vyšší než je max. výše stanovená v rozhodnutí.",TRUE," ")</f>
        <v xml:space="preserve"> </v>
      </c>
    </row>
    <row r="19" spans="2:12" ht="14.5" customHeight="1" x14ac:dyDescent="0.35">
      <c r="B19" s="362"/>
      <c r="C19" s="363"/>
      <c r="D19" s="327"/>
      <c r="E19" s="325"/>
      <c r="F19" s="350"/>
      <c r="G19" s="321"/>
      <c r="H19" s="323"/>
      <c r="I19" s="203" t="str">
        <f>IF(D18=E18," ","Čerpání z listu 2. Náklady neodpovídá čerpání z listu 4. Seznam dokladů.")</f>
        <v xml:space="preserve"> </v>
      </c>
      <c r="J19" s="203" t="str">
        <f>IF(G18=H18," ","Čerpání z listu 2. Náklady neodpovídá čerpání z listu 4. Seznam dokladů.")</f>
        <v xml:space="preserve"> </v>
      </c>
      <c r="K19" s="204"/>
      <c r="L19" s="204"/>
    </row>
    <row r="20" spans="2:12" ht="14.5" customHeight="1" x14ac:dyDescent="0.35">
      <c r="B20" s="362" t="s">
        <v>128</v>
      </c>
      <c r="C20" s="363">
        <v>130000</v>
      </c>
      <c r="D20" s="327">
        <f>'2. Náklady'!F10</f>
        <v>31480</v>
      </c>
      <c r="E20" s="325">
        <f>'4. Seznam dokladů'!H9</f>
        <v>31480</v>
      </c>
      <c r="F20" s="319">
        <v>160000</v>
      </c>
      <c r="G20" s="321">
        <f>'2. Náklady'!J10</f>
        <v>21000</v>
      </c>
      <c r="H20" s="323">
        <f>'4. Seznam dokladů'!H22</f>
        <v>21000</v>
      </c>
      <c r="I20" s="203" t="str">
        <f>_xlfn.IFS(D20&gt;C20,"Čerpání dotace nesmí být vyšší než je max. výše stanovená v rozhodnutí.",E20&gt;C20,"Čerpání dotace nesmí být vyšší než je max. výše stanovená v rozhodnutí.",TRUE," ")</f>
        <v xml:space="preserve"> </v>
      </c>
      <c r="J20" s="203" t="str">
        <f>_xlfn.IFS(G20&gt;F20,"Čerpání dotace nesmí být vyšší než je max. výše stanovená v rozhodnutí.",H20&gt;F20,"Čerpání dotace nesmí být vyšší než je max. výše stanovená v rozhodnutí.",TRUE," ")</f>
        <v xml:space="preserve"> </v>
      </c>
    </row>
    <row r="21" spans="2:12" ht="14.5" customHeight="1" x14ac:dyDescent="0.35">
      <c r="B21" s="362"/>
      <c r="C21" s="363"/>
      <c r="D21" s="327"/>
      <c r="E21" s="325"/>
      <c r="F21" s="350"/>
      <c r="G21" s="321"/>
      <c r="H21" s="323"/>
      <c r="I21" s="203" t="str">
        <f>IF(D20=E20," ","Čerpání z listu 2. Náklady neodpovídá čerpání z listu 4. Seznam dokladů.")</f>
        <v xml:space="preserve"> </v>
      </c>
      <c r="J21" s="203" t="str">
        <f>IF(G20=H20," ","Čerpání z listu 2. Náklady neodpovídá čerpání z listu 4. Seznam dokladů.")</f>
        <v xml:space="preserve"> </v>
      </c>
    </row>
    <row r="22" spans="2:12" ht="14.5" customHeight="1" x14ac:dyDescent="0.35">
      <c r="B22" s="362" t="s">
        <v>129</v>
      </c>
      <c r="C22" s="319">
        <v>20000</v>
      </c>
      <c r="D22" s="327">
        <f>'2. Náklady'!F12</f>
        <v>3950</v>
      </c>
      <c r="E22" s="325">
        <f>'4. Seznam dokladů'!H11</f>
        <v>3950</v>
      </c>
      <c r="F22" s="319">
        <v>30000</v>
      </c>
      <c r="G22" s="321">
        <f>'2. Náklady'!J12</f>
        <v>5000</v>
      </c>
      <c r="H22" s="323">
        <f>'4. Seznam dokladů'!H24</f>
        <v>5000</v>
      </c>
      <c r="I22" s="203" t="str">
        <f>_xlfn.IFS(D22&gt;C22,"Čerpání dotace nesmí být vyšší než je max. výše stanovená v rozhodnutí.",E22&gt;C22,"Čerpání dotace nesmí být vyšší než je max. výše stanovená v rozhodnutí.",TRUE," ")</f>
        <v xml:space="preserve"> </v>
      </c>
      <c r="J22" s="203" t="str">
        <f>_xlfn.IFS(G22&gt;F22,"Čerpání dotace nesmí být vyšší než je max. výše stanovená v rozhodnutí.",H22&gt;F22,"Čerpání dotace nesmí být vyšší než je max. výše stanovená v rozhodnutí.",TRUE," ")</f>
        <v xml:space="preserve"> </v>
      </c>
    </row>
    <row r="23" spans="2:12" ht="14.5" customHeight="1" x14ac:dyDescent="0.35">
      <c r="B23" s="362"/>
      <c r="C23" s="350"/>
      <c r="D23" s="327"/>
      <c r="E23" s="325"/>
      <c r="F23" s="350"/>
      <c r="G23" s="321"/>
      <c r="H23" s="323"/>
      <c r="I23" s="203" t="str">
        <f>IF(D22=E22," ","Čerpání z listu 2. Náklady neodpovídá čerpání z listu 4. Seznam dokladů.")</f>
        <v xml:space="preserve"> </v>
      </c>
      <c r="J23" s="203" t="str">
        <f>IF(G22=H22," ","Čerpání z listu 2. Náklady neodpovídá čerpání z listu 4. Seznam dokladů.")</f>
        <v xml:space="preserve"> </v>
      </c>
    </row>
    <row r="24" spans="2:12" ht="14.5" customHeight="1" x14ac:dyDescent="0.35">
      <c r="B24" s="362" t="s">
        <v>130</v>
      </c>
      <c r="C24" s="363">
        <v>60000</v>
      </c>
      <c r="D24" s="327">
        <f>'2. Náklady'!F14</f>
        <v>53520</v>
      </c>
      <c r="E24" s="325">
        <f>'4. Seznam dokladů'!H13</f>
        <v>53520</v>
      </c>
      <c r="F24" s="319">
        <v>90000</v>
      </c>
      <c r="G24" s="321">
        <f>'2. Náklady'!J14</f>
        <v>70000</v>
      </c>
      <c r="H24" s="323">
        <f>'4. Seznam dokladů'!H26</f>
        <v>70000</v>
      </c>
      <c r="I24" s="203" t="str">
        <f>_xlfn.IFS(D24&gt;C24,"Čerpání dotace nesmí být vyšší než je max. výše stanovená v rozhodnutí.",E24&gt;C24,"Čerpání dotace nesmí být vyšší než je max. výše stanovená v rozhodnutí.",TRUE," ")</f>
        <v xml:space="preserve"> </v>
      </c>
      <c r="J24" s="203" t="str">
        <f>_xlfn.IFS(G24&gt;F24,"Čerpání dotace nesmí být vyšší než je max. výše stanovená v rozhodnutí.",H24&gt;F24,"Čerpání dotace nesmí být vyšší než je max. výše stanovená v rozhodnutí.",TRUE," ")</f>
        <v xml:space="preserve"> </v>
      </c>
    </row>
    <row r="25" spans="2:12" x14ac:dyDescent="0.35">
      <c r="B25" s="366"/>
      <c r="C25" s="367"/>
      <c r="D25" s="328"/>
      <c r="E25" s="326"/>
      <c r="F25" s="320"/>
      <c r="G25" s="322"/>
      <c r="H25" s="324"/>
      <c r="I25" s="203" t="str">
        <f>IF(D24=E24," ","Čerpání z listu 2. Náklady neodpovídá čerpání z listu 4. Seznam dokladů.")</f>
        <v xml:space="preserve"> </v>
      </c>
      <c r="J25" s="203" t="str">
        <f>IF(G24=H24," ","Čerpání z listu 2. Náklady neodpovídá čerpání z listu 4. Seznam dokladů.")</f>
        <v xml:space="preserve"> </v>
      </c>
    </row>
    <row r="26" spans="2:12" ht="14.5" customHeight="1" x14ac:dyDescent="0.35">
      <c r="B26" s="205"/>
      <c r="C26" s="201"/>
      <c r="D26" s="40"/>
      <c r="E26" s="39"/>
      <c r="F26" s="40"/>
      <c r="G26" s="78"/>
    </row>
    <row r="27" spans="2:12" x14ac:dyDescent="0.35">
      <c r="H27" s="207" t="s">
        <v>18</v>
      </c>
    </row>
    <row r="28" spans="2:12" ht="22.5" customHeight="1" x14ac:dyDescent="0.35">
      <c r="B28" s="278"/>
      <c r="C28" s="308">
        <v>2022</v>
      </c>
      <c r="D28" s="309"/>
      <c r="E28" s="310"/>
      <c r="F28" s="311">
        <v>2023</v>
      </c>
      <c r="G28" s="311"/>
      <c r="H28" s="312"/>
    </row>
    <row r="29" spans="2:12" ht="22.5" customHeight="1" x14ac:dyDescent="0.35">
      <c r="B29" s="279" t="s">
        <v>186</v>
      </c>
      <c r="C29" s="283">
        <v>290000</v>
      </c>
      <c r="D29" s="284"/>
      <c r="E29" s="285"/>
      <c r="F29" s="283">
        <v>380000</v>
      </c>
      <c r="G29" s="284"/>
      <c r="H29" s="285"/>
    </row>
    <row r="30" spans="2:12" ht="22.5" customHeight="1" x14ac:dyDescent="0.35">
      <c r="B30" s="279" t="s">
        <v>143</v>
      </c>
      <c r="C30" s="301">
        <f>SUM(D18:D25)</f>
        <v>288950</v>
      </c>
      <c r="D30" s="302"/>
      <c r="E30" s="303"/>
      <c r="F30" s="304">
        <f>SUM(G18:G25)</f>
        <v>380000</v>
      </c>
      <c r="G30" s="302"/>
      <c r="H30" s="303"/>
    </row>
    <row r="31" spans="2:12" ht="22.5" customHeight="1" x14ac:dyDescent="0.35">
      <c r="B31" s="279" t="s">
        <v>196</v>
      </c>
      <c r="C31" s="305">
        <f>_xlfn.IFS(C29-C30&lt;0,"CHYBA! Čerpání dotace nemůže být vyšší než je poskytnutá dotace.","PRAVDA",C29-C30)</f>
        <v>1050</v>
      </c>
      <c r="D31" s="306"/>
      <c r="E31" s="307"/>
      <c r="F31" s="305">
        <f>_xlfn.IFS(F29-F30&lt;0,"CHYBA! Čerpání dotace nemůže být vyšší než je poskytnutá dotace.","PRAVDA",F29-F30)</f>
        <v>0</v>
      </c>
      <c r="G31" s="306"/>
      <c r="H31" s="307"/>
    </row>
    <row r="32" spans="2:12" ht="22.5" customHeight="1" x14ac:dyDescent="0.35">
      <c r="B32" s="280" t="s">
        <v>131</v>
      </c>
      <c r="C32" s="287">
        <f>'2. Náklady'!D20</f>
        <v>414700</v>
      </c>
      <c r="D32" s="288"/>
      <c r="E32" s="289"/>
      <c r="F32" s="290">
        <f>'2. Náklady'!H20</f>
        <v>536254</v>
      </c>
      <c r="G32" s="290"/>
      <c r="H32" s="291"/>
    </row>
    <row r="33" spans="2:8" ht="22.5" customHeight="1" x14ac:dyDescent="0.35">
      <c r="B33" s="280" t="s">
        <v>132</v>
      </c>
      <c r="C33" s="287">
        <f>'3. Zdroje'!D28</f>
        <v>414700</v>
      </c>
      <c r="D33" s="288"/>
      <c r="E33" s="289"/>
      <c r="F33" s="290">
        <f>'3. Zdroje'!G28</f>
        <v>535624</v>
      </c>
      <c r="G33" s="290"/>
      <c r="H33" s="291"/>
    </row>
    <row r="34" spans="2:8" ht="22.5" customHeight="1" x14ac:dyDescent="0.35">
      <c r="B34" s="280" t="s">
        <v>195</v>
      </c>
      <c r="C34" s="292">
        <f>_xlfn.IFS(C33-C32&lt;0,0,C33-C32&gt;0,C33-C32,TRUE,0)</f>
        <v>0</v>
      </c>
      <c r="D34" s="293"/>
      <c r="E34" s="294"/>
      <c r="F34" s="292">
        <f>_xlfn.IFS(F33-F32&lt;0,0,F33-F32&gt;0,F33-F32,TRUE,0)</f>
        <v>0</v>
      </c>
      <c r="G34" s="293"/>
      <c r="H34" s="294"/>
    </row>
    <row r="35" spans="2:8" ht="30" customHeight="1" x14ac:dyDescent="0.35">
      <c r="B35" s="279" t="s">
        <v>197</v>
      </c>
      <c r="C35" s="295">
        <f>C31+C34</f>
        <v>1050</v>
      </c>
      <c r="D35" s="296"/>
      <c r="E35" s="297"/>
      <c r="F35" s="295">
        <f>F31+F34</f>
        <v>0</v>
      </c>
      <c r="G35" s="296"/>
      <c r="H35" s="297"/>
    </row>
    <row r="36" spans="2:8" ht="22.5" customHeight="1" x14ac:dyDescent="0.35">
      <c r="B36" s="279" t="s">
        <v>204</v>
      </c>
      <c r="C36" s="298">
        <f>C35+F35</f>
        <v>1050</v>
      </c>
      <c r="D36" s="299"/>
      <c r="E36" s="299"/>
      <c r="F36" s="299"/>
      <c r="G36" s="299"/>
      <c r="H36" s="300"/>
    </row>
    <row r="37" spans="2:8" ht="22.5" customHeight="1" x14ac:dyDescent="0.35">
      <c r="B37" s="279" t="s">
        <v>188</v>
      </c>
      <c r="C37" s="283">
        <v>1050</v>
      </c>
      <c r="D37" s="284"/>
      <c r="E37" s="285"/>
      <c r="F37" s="286">
        <v>0</v>
      </c>
      <c r="G37" s="284"/>
      <c r="H37" s="285"/>
    </row>
    <row r="38" spans="2:8" ht="22.5" customHeight="1" x14ac:dyDescent="0.35">
      <c r="B38" s="281" t="s">
        <v>187</v>
      </c>
      <c r="C38" s="351">
        <v>44947</v>
      </c>
      <c r="D38" s="352"/>
      <c r="E38" s="353"/>
      <c r="F38" s="354"/>
      <c r="G38" s="355"/>
      <c r="H38" s="356"/>
    </row>
    <row r="39" spans="2:8" ht="22.5" customHeight="1" x14ac:dyDescent="0.35">
      <c r="B39" s="282" t="s">
        <v>203</v>
      </c>
      <c r="C39" s="357">
        <f>C36-C37-F37</f>
        <v>0</v>
      </c>
      <c r="D39" s="358"/>
      <c r="E39" s="358"/>
      <c r="F39" s="358"/>
      <c r="G39" s="358"/>
      <c r="H39" s="359"/>
    </row>
    <row r="40" spans="2:8" x14ac:dyDescent="0.35">
      <c r="C40" s="209"/>
      <c r="D40" s="40"/>
    </row>
  </sheetData>
  <dataConsolidate link="1"/>
  <mergeCells count="68">
    <mergeCell ref="C38:E38"/>
    <mergeCell ref="F38:H38"/>
    <mergeCell ref="C39:H39"/>
    <mergeCell ref="C14:D14"/>
    <mergeCell ref="B18:B19"/>
    <mergeCell ref="C18:C19"/>
    <mergeCell ref="D18:D19"/>
    <mergeCell ref="E18:E19"/>
    <mergeCell ref="B16:B17"/>
    <mergeCell ref="B20:B21"/>
    <mergeCell ref="D20:D21"/>
    <mergeCell ref="B22:B23"/>
    <mergeCell ref="B24:B25"/>
    <mergeCell ref="C24:C25"/>
    <mergeCell ref="C22:C23"/>
    <mergeCell ref="C20:C21"/>
    <mergeCell ref="G14:H14"/>
    <mergeCell ref="E13:F13"/>
    <mergeCell ref="E14:F14"/>
    <mergeCell ref="E20:E21"/>
    <mergeCell ref="E22:E23"/>
    <mergeCell ref="H18:H19"/>
    <mergeCell ref="F20:F21"/>
    <mergeCell ref="G20:G21"/>
    <mergeCell ref="H20:H21"/>
    <mergeCell ref="F22:F23"/>
    <mergeCell ref="G22:G23"/>
    <mergeCell ref="H22:H23"/>
    <mergeCell ref="F18:F19"/>
    <mergeCell ref="G18:G19"/>
    <mergeCell ref="C8:H8"/>
    <mergeCell ref="C9:H9"/>
    <mergeCell ref="C10:H10"/>
    <mergeCell ref="C11:H11"/>
    <mergeCell ref="G13:H13"/>
    <mergeCell ref="C13:D13"/>
    <mergeCell ref="C3:H3"/>
    <mergeCell ref="C4:H4"/>
    <mergeCell ref="C5:H5"/>
    <mergeCell ref="C6:H6"/>
    <mergeCell ref="C7:H7"/>
    <mergeCell ref="C28:E28"/>
    <mergeCell ref="F28:H28"/>
    <mergeCell ref="C29:E29"/>
    <mergeCell ref="F29:H29"/>
    <mergeCell ref="C16:E16"/>
    <mergeCell ref="F16:H16"/>
    <mergeCell ref="F24:F25"/>
    <mergeCell ref="G24:G25"/>
    <mergeCell ref="H24:H25"/>
    <mergeCell ref="E24:E25"/>
    <mergeCell ref="D22:D23"/>
    <mergeCell ref="D24:D25"/>
    <mergeCell ref="C30:E30"/>
    <mergeCell ref="F30:H30"/>
    <mergeCell ref="C31:E31"/>
    <mergeCell ref="F31:H31"/>
    <mergeCell ref="C32:E32"/>
    <mergeCell ref="F32:H32"/>
    <mergeCell ref="C37:E37"/>
    <mergeCell ref="F37:H37"/>
    <mergeCell ref="C33:E33"/>
    <mergeCell ref="F33:H33"/>
    <mergeCell ref="C34:E34"/>
    <mergeCell ref="F34:H34"/>
    <mergeCell ref="C35:E35"/>
    <mergeCell ref="F35:H35"/>
    <mergeCell ref="C36:H36"/>
  </mergeCells>
  <conditionalFormatting sqref="E18:E19">
    <cfRule type="cellIs" dxfId="210" priority="104" operator="greaterThan">
      <formula>$C$18</formula>
    </cfRule>
    <cfRule type="cellIs" dxfId="209" priority="110" operator="notEqual">
      <formula>$D$18</formula>
    </cfRule>
  </conditionalFormatting>
  <conditionalFormatting sqref="D18:D19">
    <cfRule type="cellIs" dxfId="208" priority="105" operator="greaterThan">
      <formula>$C$18</formula>
    </cfRule>
    <cfRule type="cellIs" dxfId="207" priority="109" operator="notEqual">
      <formula>$E$18</formula>
    </cfRule>
  </conditionalFormatting>
  <conditionalFormatting sqref="C18:C19">
    <cfRule type="cellIs" dxfId="206" priority="107" operator="lessThan">
      <formula>$E$18</formula>
    </cfRule>
    <cfRule type="cellIs" dxfId="205" priority="108" operator="lessThan">
      <formula>$D$18</formula>
    </cfRule>
  </conditionalFormatting>
  <conditionalFormatting sqref="E20:E21">
    <cfRule type="cellIs" dxfId="204" priority="91" operator="greaterThan">
      <formula>$C$20</formula>
    </cfRule>
    <cfRule type="cellIs" dxfId="203" priority="92" operator="notEqual">
      <formula>$D$20</formula>
    </cfRule>
  </conditionalFormatting>
  <conditionalFormatting sqref="E22:E23">
    <cfRule type="cellIs" dxfId="202" priority="87" operator="greaterThan">
      <formula>$C$22</formula>
    </cfRule>
    <cfRule type="cellIs" dxfId="201" priority="88" operator="notEqual">
      <formula>$D$22</formula>
    </cfRule>
  </conditionalFormatting>
  <conditionalFormatting sqref="E24:E25">
    <cfRule type="cellIs" dxfId="200" priority="81" operator="greaterThan">
      <formula>$C$24</formula>
    </cfRule>
    <cfRule type="cellIs" dxfId="199" priority="82" operator="notEqual">
      <formula>$D$24</formula>
    </cfRule>
  </conditionalFormatting>
  <conditionalFormatting sqref="H18:H19">
    <cfRule type="cellIs" dxfId="198" priority="74" operator="greaterThan">
      <formula>$F$18</formula>
    </cfRule>
    <cfRule type="cellIs" dxfId="197" priority="80" operator="notEqual">
      <formula>$G$18</formula>
    </cfRule>
  </conditionalFormatting>
  <conditionalFormatting sqref="G18:G19">
    <cfRule type="cellIs" dxfId="196" priority="75" operator="greaterThan">
      <formula>$F$18</formula>
    </cfRule>
    <cfRule type="cellIs" dxfId="195" priority="79" operator="notEqual">
      <formula>$H$18</formula>
    </cfRule>
  </conditionalFormatting>
  <conditionalFormatting sqref="F18:F19">
    <cfRule type="cellIs" dxfId="194" priority="77" operator="lessThan">
      <formula>$E$18</formula>
    </cfRule>
    <cfRule type="cellIs" dxfId="193" priority="78" operator="lessThan">
      <formula>$D$18</formula>
    </cfRule>
  </conditionalFormatting>
  <conditionalFormatting sqref="G20:G21">
    <cfRule type="cellIs" dxfId="192" priority="63" operator="greaterThan">
      <formula>$F$20</formula>
    </cfRule>
    <cfRule type="cellIs" dxfId="191" priority="64" operator="notEqual">
      <formula>$H$20</formula>
    </cfRule>
  </conditionalFormatting>
  <conditionalFormatting sqref="H20:H21">
    <cfRule type="cellIs" dxfId="190" priority="61" operator="greaterThan">
      <formula>$F$20</formula>
    </cfRule>
    <cfRule type="cellIs" dxfId="189" priority="62" operator="notEqual">
      <formula>$G$20</formula>
    </cfRule>
  </conditionalFormatting>
  <conditionalFormatting sqref="H22:H23">
    <cfRule type="cellIs" dxfId="188" priority="59" operator="greaterThan">
      <formula>$F$22</formula>
    </cfRule>
    <cfRule type="cellIs" dxfId="187" priority="60" operator="notEqual">
      <formula>$G$22</formula>
    </cfRule>
  </conditionalFormatting>
  <conditionalFormatting sqref="G22:G23">
    <cfRule type="cellIs" dxfId="186" priority="57" operator="greaterThan">
      <formula>$F$22</formula>
    </cfRule>
    <cfRule type="cellIs" dxfId="185" priority="58" operator="notEqual">
      <formula>$H$22</formula>
    </cfRule>
  </conditionalFormatting>
  <conditionalFormatting sqref="G24:G25">
    <cfRule type="cellIs" dxfId="184" priority="55" operator="greaterThan">
      <formula>$F$24</formula>
    </cfRule>
    <cfRule type="cellIs" dxfId="183" priority="56" operator="notEqual">
      <formula>$H$24</formula>
    </cfRule>
  </conditionalFormatting>
  <conditionalFormatting sqref="H24:H25">
    <cfRule type="cellIs" dxfId="182" priority="53" operator="greaterThan">
      <formula>$F$24</formula>
    </cfRule>
    <cfRule type="cellIs" dxfId="181" priority="54" operator="notEqual">
      <formula>$G$24</formula>
    </cfRule>
  </conditionalFormatting>
  <conditionalFormatting sqref="C22:C23">
    <cfRule type="cellIs" dxfId="180" priority="48" operator="lessThan">
      <formula>$E$22</formula>
    </cfRule>
    <cfRule type="cellIs" dxfId="179" priority="49" operator="lessThan">
      <formula>$D$22</formula>
    </cfRule>
  </conditionalFormatting>
  <conditionalFormatting sqref="C24:C25">
    <cfRule type="cellIs" dxfId="178" priority="45" operator="lessThan">
      <formula>$E$24</formula>
    </cfRule>
    <cfRule type="cellIs" dxfId="177" priority="46" operator="lessThan">
      <formula>$D$24</formula>
    </cfRule>
  </conditionalFormatting>
  <conditionalFormatting sqref="F24:F25">
    <cfRule type="cellIs" dxfId="176" priority="36" operator="lessThan">
      <formula>$E$24</formula>
    </cfRule>
    <cfRule type="cellIs" dxfId="175" priority="37" operator="lessThan">
      <formula>$D$24</formula>
    </cfRule>
  </conditionalFormatting>
  <conditionalFormatting sqref="D20:D21">
    <cfRule type="cellIs" dxfId="174" priority="33" operator="greaterThan">
      <formula>$C$20</formula>
    </cfRule>
    <cfRule type="cellIs" dxfId="173" priority="34" operator="notEqual">
      <formula>$E$20</formula>
    </cfRule>
  </conditionalFormatting>
  <conditionalFormatting sqref="D22:D23">
    <cfRule type="cellIs" dxfId="172" priority="29" operator="greaterThan">
      <formula>$C$22</formula>
    </cfRule>
    <cfRule type="cellIs" dxfId="171" priority="30" operator="notEqual">
      <formula>$E$22</formula>
    </cfRule>
  </conditionalFormatting>
  <conditionalFormatting sqref="D24:D25">
    <cfRule type="cellIs" dxfId="170" priority="25" operator="greaterThan">
      <formula>$C$24</formula>
    </cfRule>
    <cfRule type="cellIs" dxfId="169" priority="26" operator="notEqual">
      <formula>$E$24</formula>
    </cfRule>
  </conditionalFormatting>
  <conditionalFormatting sqref="C31:E31">
    <cfRule type="containsText" dxfId="168" priority="22" operator="containsText" text="CHYBA">
      <formula>NOT(ISERROR(SEARCH("CHYBA",C31)))</formula>
    </cfRule>
  </conditionalFormatting>
  <conditionalFormatting sqref="F31:H31">
    <cfRule type="containsText" dxfId="167" priority="16" operator="containsText" text="CHYBA">
      <formula>NOT(ISERROR(SEARCH("CHYBA",F31)))</formula>
    </cfRule>
    <cfRule type="containsText" dxfId="166" priority="19" operator="containsText" text="CHYBA">
      <formula>NOT(ISERROR(SEARCH("CHYBA",F31)))</formula>
    </cfRule>
  </conditionalFormatting>
  <conditionalFormatting sqref="C20:C21">
    <cfRule type="cellIs" dxfId="165" priority="12" operator="lessThan">
      <formula>$E$20</formula>
    </cfRule>
    <cfRule type="cellIs" dxfId="164" priority="13" operator="lessThan">
      <formula>$D$20</formula>
    </cfRule>
  </conditionalFormatting>
  <conditionalFormatting sqref="F20:F21">
    <cfRule type="cellIs" dxfId="163" priority="9" operator="lessThan">
      <formula>$E$20</formula>
    </cfRule>
    <cfRule type="cellIs" dxfId="162" priority="10" operator="lessThan">
      <formula>$D$20</formula>
    </cfRule>
  </conditionalFormatting>
  <conditionalFormatting sqref="F22:F23">
    <cfRule type="cellIs" dxfId="161" priority="6" operator="lessThan">
      <formula>$E$22</formula>
    </cfRule>
    <cfRule type="cellIs" dxfId="160" priority="7" operator="lessThan">
      <formula>$D$22</formula>
    </cfRule>
  </conditionalFormatting>
  <conditionalFormatting sqref="C29:E29">
    <cfRule type="cellIs" dxfId="159" priority="4" operator="lessThan">
      <formula>$C$30</formula>
    </cfRule>
  </conditionalFormatting>
  <conditionalFormatting sqref="F29:H29">
    <cfRule type="cellIs" dxfId="158" priority="3" operator="lessThan">
      <formula>$F$30</formula>
    </cfRule>
  </conditionalFormatting>
  <conditionalFormatting sqref="C39:H39">
    <cfRule type="cellIs" dxfId="157" priority="2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A351E2-167C-4F12-BF7F-F8DED0A067B2}">
          <x14:formula1>
            <xm:f>'5. Data'!$A$2:$A$7</xm:f>
          </x14:formula1>
          <xm:sqref>C9</xm:sqref>
        </x14:dataValidation>
        <x14:dataValidation type="list" allowBlank="1" showInputMessage="1" showErrorMessage="1" xr:uid="{D96247A6-E960-462F-B92D-FBFC72C030FC}">
          <x14:formula1>
            <xm:f>'5. Data'!$A$13:$A$16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AC5C-F9B5-495A-9D39-89C346D85F14}">
  <dimension ref="A1:O110"/>
  <sheetViews>
    <sheetView showGridLines="0" zoomScale="60" zoomScaleNormal="60" workbookViewId="0">
      <selection activeCell="D12" sqref="D12:E13"/>
    </sheetView>
  </sheetViews>
  <sheetFormatPr defaultColWidth="9.1796875" defaultRowHeight="14" outlineLevelRow="1" outlineLevelCol="1" x14ac:dyDescent="0.35"/>
  <cols>
    <col min="1" max="1" width="4.81640625" style="8" customWidth="1"/>
    <col min="2" max="2" width="27.54296875" style="12" customWidth="1"/>
    <col min="3" max="3" width="32.81640625" style="13" customWidth="1"/>
    <col min="4" max="4" width="16.81640625" style="14" customWidth="1" outlineLevel="1"/>
    <col min="5" max="5" width="12.7265625" style="14" customWidth="1" outlineLevel="1"/>
    <col min="6" max="6" width="19.453125" style="14" customWidth="1" outlineLevel="1"/>
    <col min="7" max="7" width="18.54296875" style="14" customWidth="1" outlineLevel="1"/>
    <col min="8" max="8" width="17.453125" style="14" customWidth="1"/>
    <col min="9" max="9" width="12.453125" style="14" customWidth="1"/>
    <col min="10" max="10" width="18.54296875" style="14" customWidth="1"/>
    <col min="11" max="11" width="18.54296875" style="11" customWidth="1"/>
    <col min="12" max="12" width="0.1796875" style="143" customWidth="1"/>
    <col min="13" max="16384" width="9.1796875" style="4"/>
  </cols>
  <sheetData>
    <row r="1" spans="1:15" s="174" customFormat="1" ht="20.25" customHeight="1" x14ac:dyDescent="0.35">
      <c r="A1" s="48"/>
      <c r="B1" s="409" t="s">
        <v>17</v>
      </c>
      <c r="C1" s="409"/>
      <c r="D1" s="409"/>
      <c r="E1" s="49"/>
      <c r="F1" s="49"/>
      <c r="G1" s="49"/>
      <c r="H1" s="49"/>
      <c r="I1" s="49"/>
      <c r="J1" s="49"/>
      <c r="K1" s="50"/>
      <c r="L1" s="132"/>
    </row>
    <row r="2" spans="1:15" s="175" customFormat="1" ht="20.25" customHeight="1" outlineLevel="1" x14ac:dyDescent="0.35">
      <c r="A2" s="17"/>
      <c r="B2" s="108"/>
      <c r="C2" s="108"/>
      <c r="D2" s="108"/>
      <c r="E2" s="40"/>
      <c r="F2" s="40"/>
      <c r="G2" s="40"/>
      <c r="H2" s="40"/>
      <c r="I2" s="40"/>
      <c r="J2" s="40"/>
      <c r="K2" s="78"/>
      <c r="L2" s="132"/>
    </row>
    <row r="3" spans="1:15" s="174" customFormat="1" ht="24.65" customHeight="1" outlineLevel="1" x14ac:dyDescent="0.35">
      <c r="A3" s="17"/>
      <c r="B3" s="59"/>
      <c r="C3"/>
      <c r="D3" s="394">
        <v>2022</v>
      </c>
      <c r="E3" s="394"/>
      <c r="F3" s="394"/>
      <c r="G3" s="394"/>
      <c r="H3" s="395">
        <v>2023</v>
      </c>
      <c r="I3" s="395"/>
      <c r="J3" s="395"/>
      <c r="K3" s="395"/>
      <c r="L3" s="132"/>
    </row>
    <row r="4" spans="1:15" s="174" customFormat="1" ht="18" outlineLevel="1" x14ac:dyDescent="0.35">
      <c r="A4" s="17"/>
      <c r="B4" s="176"/>
      <c r="C4"/>
      <c r="D4" s="396" t="s">
        <v>186</v>
      </c>
      <c r="E4" s="397"/>
      <c r="F4" s="402" t="s">
        <v>143</v>
      </c>
      <c r="G4" s="403"/>
      <c r="H4" s="404" t="s">
        <v>186</v>
      </c>
      <c r="I4" s="405"/>
      <c r="J4" s="406" t="s">
        <v>143</v>
      </c>
      <c r="K4" s="407"/>
      <c r="L4" s="133"/>
      <c r="M4" s="177"/>
      <c r="N4" s="177"/>
      <c r="O4" s="177"/>
    </row>
    <row r="5" spans="1:15" s="174" customFormat="1" ht="18" outlineLevel="1" x14ac:dyDescent="0.35">
      <c r="A5" s="17"/>
      <c r="B5" s="176"/>
      <c r="C5"/>
      <c r="D5" s="398">
        <f>IF('1. Souhrn'!C29="vyplňte","Vyplňte list 1. Souhrn!",'1. Souhrn'!C29)</f>
        <v>290000</v>
      </c>
      <c r="E5" s="399"/>
      <c r="F5" s="400">
        <f>SUM(G24,G34,G80,G87)</f>
        <v>288950</v>
      </c>
      <c r="G5" s="401"/>
      <c r="H5" s="398">
        <f>IF('1. Souhrn'!F29="vyplňte","Vyplňte list 1. Souhrn!",'1. Souhrn'!F29)</f>
        <v>380000</v>
      </c>
      <c r="I5" s="399"/>
      <c r="J5" s="400">
        <f>SUM(K24,K34,K80,K87)</f>
        <v>380000</v>
      </c>
      <c r="K5" s="401"/>
      <c r="L5" s="133"/>
      <c r="M5" s="177"/>
      <c r="N5" s="177"/>
      <c r="O5" s="177"/>
    </row>
    <row r="6" spans="1:15" s="174" customFormat="1" ht="14.15" customHeight="1" outlineLevel="1" x14ac:dyDescent="0.35">
      <c r="A6" s="17"/>
      <c r="B6" s="36"/>
      <c r="C6" s="38"/>
      <c r="D6" s="39"/>
      <c r="E6" s="40"/>
      <c r="F6" s="2"/>
      <c r="G6" s="2"/>
      <c r="H6" s="2"/>
      <c r="I6" s="2"/>
      <c r="J6" s="2"/>
      <c r="K6" s="3"/>
      <c r="L6" s="133"/>
      <c r="M6" s="177"/>
      <c r="N6" s="177"/>
      <c r="O6" s="177"/>
    </row>
    <row r="7" spans="1:15" s="174" customFormat="1" ht="35.5" customHeight="1" outlineLevel="1" x14ac:dyDescent="0.35">
      <c r="A7" s="17"/>
      <c r="B7"/>
      <c r="C7" s="274" t="s">
        <v>126</v>
      </c>
      <c r="D7" s="450" t="s">
        <v>189</v>
      </c>
      <c r="E7" s="450"/>
      <c r="F7" s="451" t="s">
        <v>174</v>
      </c>
      <c r="G7" s="452"/>
      <c r="H7" s="449" t="s">
        <v>189</v>
      </c>
      <c r="I7" s="449"/>
      <c r="J7" s="448" t="s">
        <v>174</v>
      </c>
      <c r="K7" s="448"/>
      <c r="L7" s="133"/>
      <c r="M7" s="177"/>
      <c r="N7" s="177"/>
      <c r="O7" s="177"/>
    </row>
    <row r="8" spans="1:15" s="174" customFormat="1" ht="14.5" customHeight="1" outlineLevel="1" x14ac:dyDescent="0.35">
      <c r="A8" s="17"/>
      <c r="B8"/>
      <c r="C8" s="387" t="s">
        <v>127</v>
      </c>
      <c r="D8" s="375">
        <f>IF('1. Souhrn'!C18="vyplňte","Vyplňte list 1. Souhrn!",'1. Souhrn'!C18)</f>
        <v>200000</v>
      </c>
      <c r="E8" s="376"/>
      <c r="F8" s="375">
        <f>G24</f>
        <v>200000</v>
      </c>
      <c r="G8" s="376"/>
      <c r="H8" s="375">
        <f>IF('1. Souhrn'!F18="vyplňte","Vyplňte list 1. Souhrn!",'1. Souhrn'!F18)</f>
        <v>300000</v>
      </c>
      <c r="I8" s="376"/>
      <c r="J8" s="375">
        <f>K24</f>
        <v>284000</v>
      </c>
      <c r="K8" s="376"/>
      <c r="L8" s="133" t="str">
        <f>_xlfn.IFS(F8&gt;D8,"Čerpání dotace nesmí být vyšší než je max. výše stanovená v rozhodnutí.",J8&gt;H8,"Čerpání dotace nesmí být vyšší než je max. výše stanovená v rozhodnutí.",TRUE," ")</f>
        <v xml:space="preserve"> </v>
      </c>
      <c r="M8" s="177"/>
      <c r="N8" s="177"/>
      <c r="O8" s="177"/>
    </row>
    <row r="9" spans="1:15" s="174" customFormat="1" ht="14.15" customHeight="1" outlineLevel="1" x14ac:dyDescent="0.35">
      <c r="A9" s="17"/>
      <c r="B9"/>
      <c r="C9" s="387"/>
      <c r="D9" s="377"/>
      <c r="E9" s="378"/>
      <c r="F9" s="377"/>
      <c r="G9" s="378"/>
      <c r="H9" s="377"/>
      <c r="I9" s="378"/>
      <c r="J9" s="377"/>
      <c r="K9" s="378"/>
      <c r="L9" s="133" t="str">
        <f>_xlfn.IFS(F8&gt;'4. Seznam dokladů'!H7,"Čerpání na listu 2. Náklady musí být souladu s listem 4. Seznam dokladů.",F8&lt;'4. Seznam dokladů'!H7,"Čerpání na listu 2. Náklady musí být souladu s listem 4. Seznam dokladů.",J8&gt;'4. Seznam dokladů'!H20,"Čerpání na listu 2. Náklady musí být souladu s listem 4. Seznam dokladů.",J8&gt;'4. Seznam dokladů'!H20,"Čerpání na listu 2. Náklady musí být souladu s listem 4. Seznam dokladů.",TRUE," ")</f>
        <v xml:space="preserve"> </v>
      </c>
      <c r="M9" s="177"/>
      <c r="N9" s="177"/>
      <c r="O9" s="177"/>
    </row>
    <row r="10" spans="1:15" s="174" customFormat="1" ht="14.15" customHeight="1" outlineLevel="1" x14ac:dyDescent="0.35">
      <c r="A10" s="17"/>
      <c r="B10"/>
      <c r="C10" s="387" t="s">
        <v>128</v>
      </c>
      <c r="D10" s="375">
        <f>IF('1. Souhrn'!C20="vyplňte","Vyplňte list 1. Souhrn!",'1. Souhrn'!C20)</f>
        <v>130000</v>
      </c>
      <c r="E10" s="376"/>
      <c r="F10" s="375">
        <f>G34</f>
        <v>31480</v>
      </c>
      <c r="G10" s="376"/>
      <c r="H10" s="375">
        <f>IF('1. Souhrn'!F20="vyplňte","Vyplňte list 1. Souhrn!",'1. Souhrn'!F20)</f>
        <v>160000</v>
      </c>
      <c r="I10" s="376"/>
      <c r="J10" s="375">
        <f>K34</f>
        <v>21000</v>
      </c>
      <c r="K10" s="376"/>
      <c r="L10" s="133" t="str">
        <f>IF(F10&gt;D10,"Čerpání dotace nesmí být vyšší než je max. výše stanovená v rozhodnutí."," ")</f>
        <v xml:space="preserve"> </v>
      </c>
      <c r="M10" s="177"/>
      <c r="N10" s="177"/>
      <c r="O10" s="177"/>
    </row>
    <row r="11" spans="1:15" s="174" customFormat="1" ht="14.15" customHeight="1" outlineLevel="1" x14ac:dyDescent="0.35">
      <c r="A11" s="17"/>
      <c r="B11"/>
      <c r="C11" s="387"/>
      <c r="D11" s="377"/>
      <c r="E11" s="378"/>
      <c r="F11" s="377"/>
      <c r="G11" s="378"/>
      <c r="H11" s="377"/>
      <c r="I11" s="378"/>
      <c r="J11" s="377"/>
      <c r="K11" s="378"/>
      <c r="L11" s="133" t="str">
        <f>IF(F10='4. Seznam dokladů'!H9," ","Čerpání na listu 2. Náklady musí být souladu s listem 4. Seznam dokladů.")</f>
        <v xml:space="preserve"> </v>
      </c>
      <c r="M11" s="177"/>
      <c r="N11" s="177"/>
      <c r="O11" s="177"/>
    </row>
    <row r="12" spans="1:15" s="174" customFormat="1" ht="14.15" customHeight="1" outlineLevel="1" x14ac:dyDescent="0.35">
      <c r="A12" s="17"/>
      <c r="B12"/>
      <c r="C12" s="387" t="s">
        <v>129</v>
      </c>
      <c r="D12" s="375">
        <f>IF('1. Souhrn'!C22="vyplňte","Vyplňte list 1. Souhrn!",'1. Souhrn'!C22)</f>
        <v>20000</v>
      </c>
      <c r="E12" s="376"/>
      <c r="F12" s="375">
        <f>G80</f>
        <v>3950</v>
      </c>
      <c r="G12" s="376"/>
      <c r="H12" s="375">
        <f>IF('1. Souhrn'!F22="vyplňte","Vyplňte list 1. Souhrn!",'1. Souhrn'!F22)</f>
        <v>30000</v>
      </c>
      <c r="I12" s="376"/>
      <c r="J12" s="375">
        <f>K80</f>
        <v>5000</v>
      </c>
      <c r="K12" s="376"/>
      <c r="L12" s="133" t="str">
        <f>IF(F12&gt;D12,"Čerpání dotace nesmí být vyšší než je max. výše stanovená v rozhodnutí."," ")</f>
        <v xml:space="preserve"> </v>
      </c>
      <c r="M12" s="177"/>
      <c r="N12" s="177"/>
      <c r="O12" s="177"/>
    </row>
    <row r="13" spans="1:15" s="174" customFormat="1" ht="14.15" customHeight="1" outlineLevel="1" x14ac:dyDescent="0.35">
      <c r="A13" s="16"/>
      <c r="B13"/>
      <c r="C13" s="387"/>
      <c r="D13" s="377"/>
      <c r="E13" s="378"/>
      <c r="F13" s="377"/>
      <c r="G13" s="378"/>
      <c r="H13" s="377"/>
      <c r="I13" s="378"/>
      <c r="J13" s="377"/>
      <c r="K13" s="378"/>
      <c r="L13" s="133" t="str">
        <f>IF(F12='4. Seznam dokladů'!H11," ","Čerpání na listu 2. Náklady musí být souladu s listem 4. Seznam dokladů.")</f>
        <v xml:space="preserve"> </v>
      </c>
      <c r="M13" s="177"/>
      <c r="N13" s="177"/>
      <c r="O13" s="177"/>
    </row>
    <row r="14" spans="1:15" s="174" customFormat="1" ht="14.15" customHeight="1" outlineLevel="1" x14ac:dyDescent="0.35">
      <c r="A14" s="16"/>
      <c r="B14"/>
      <c r="C14" s="387" t="s">
        <v>130</v>
      </c>
      <c r="D14" s="375">
        <f>IF('1. Souhrn'!C24="vyplňte","Vyplňte list 1. Souhrn!",'1. Souhrn'!C24)</f>
        <v>60000</v>
      </c>
      <c r="E14" s="376"/>
      <c r="F14" s="375">
        <f>G87</f>
        <v>53520</v>
      </c>
      <c r="G14" s="376"/>
      <c r="H14" s="375">
        <f>IF('1. Souhrn'!F24="vyplňte","Vyplňte list 1. Souhrn!",'1. Souhrn'!F24)</f>
        <v>90000</v>
      </c>
      <c r="I14" s="376"/>
      <c r="J14" s="375">
        <f>K87</f>
        <v>70000</v>
      </c>
      <c r="K14" s="376"/>
      <c r="L14" s="133" t="str">
        <f>IF(F14&gt;D14,"Čerpání dotace nesmí být vyšší než je max. výše stanovená v rozhodnutí."," ")</f>
        <v xml:space="preserve"> </v>
      </c>
      <c r="M14" s="177"/>
      <c r="N14" s="177"/>
      <c r="O14" s="177"/>
    </row>
    <row r="15" spans="1:15" s="174" customFormat="1" ht="18" outlineLevel="1" x14ac:dyDescent="0.35">
      <c r="A15" s="16"/>
      <c r="B15"/>
      <c r="C15" s="387"/>
      <c r="D15" s="377"/>
      <c r="E15" s="378"/>
      <c r="F15" s="377"/>
      <c r="G15" s="378"/>
      <c r="H15" s="377"/>
      <c r="I15" s="378"/>
      <c r="J15" s="377"/>
      <c r="K15" s="378"/>
      <c r="L15" s="133" t="str">
        <f>IF(F14='4. Seznam dokladů'!H13," ","Čerpání na listu 2. Náklady musí být souladu s listem 4. Seznam dokladů.")</f>
        <v xml:space="preserve"> </v>
      </c>
      <c r="M15" s="177"/>
      <c r="N15" s="177"/>
      <c r="O15" s="177"/>
    </row>
    <row r="16" spans="1:15" s="174" customFormat="1" ht="18" x14ac:dyDescent="0.35">
      <c r="A16" s="16"/>
      <c r="B16" s="176"/>
      <c r="C16" s="60"/>
      <c r="D16" s="41"/>
      <c r="E16" s="41"/>
      <c r="F16" s="41"/>
      <c r="G16" s="41"/>
      <c r="H16" s="41"/>
      <c r="I16" s="41"/>
      <c r="J16" s="41"/>
      <c r="K16" s="41"/>
      <c r="L16" s="135"/>
      <c r="M16" s="177"/>
      <c r="N16" s="177"/>
      <c r="O16" s="177"/>
    </row>
    <row r="17" spans="1:15" s="175" customFormat="1" ht="18" x14ac:dyDescent="0.35">
      <c r="A17" s="178"/>
      <c r="B17" s="179"/>
      <c r="C17" s="179"/>
      <c r="D17" s="379">
        <v>2022</v>
      </c>
      <c r="E17" s="380"/>
      <c r="F17" s="380"/>
      <c r="G17" s="381"/>
      <c r="H17" s="382">
        <v>2023</v>
      </c>
      <c r="I17" s="383"/>
      <c r="J17" s="383"/>
      <c r="K17" s="384"/>
      <c r="L17" s="180"/>
      <c r="M17" s="181"/>
      <c r="N17" s="181"/>
      <c r="O17" s="181"/>
    </row>
    <row r="18" spans="1:15" s="175" customFormat="1" ht="21" customHeight="1" x14ac:dyDescent="0.35">
      <c r="A18" s="272" t="s">
        <v>63</v>
      </c>
      <c r="B18" s="385" t="s">
        <v>64</v>
      </c>
      <c r="C18" s="386"/>
      <c r="D18" s="368">
        <f>SUM(D24,D34,D80,D87)</f>
        <v>370520</v>
      </c>
      <c r="E18" s="369"/>
      <c r="F18" s="369"/>
      <c r="G18" s="370"/>
      <c r="H18" s="368">
        <f>SUM(H24,H34,H80,H87)</f>
        <v>484280</v>
      </c>
      <c r="I18" s="369"/>
      <c r="J18" s="369"/>
      <c r="K18" s="370"/>
      <c r="L18" s="182"/>
      <c r="M18" s="181"/>
      <c r="N18" s="181"/>
      <c r="O18" s="181"/>
    </row>
    <row r="19" spans="1:15" s="175" customFormat="1" ht="21" customHeight="1" x14ac:dyDescent="0.35">
      <c r="A19" s="272" t="s">
        <v>73</v>
      </c>
      <c r="B19" s="408" t="s">
        <v>154</v>
      </c>
      <c r="C19" s="408"/>
      <c r="D19" s="368">
        <f>IF('1. Souhrn'!C6:H6="ANO",D94,E24+E34+E80+F94)</f>
        <v>44180</v>
      </c>
      <c r="E19" s="369"/>
      <c r="F19" s="369"/>
      <c r="G19" s="370"/>
      <c r="H19" s="368">
        <f>IF('1. Souhrn'!C6:H6="ANO",H94,I24+I34+I80+J94)</f>
        <v>51974</v>
      </c>
      <c r="I19" s="369"/>
      <c r="J19" s="369"/>
      <c r="K19" s="370"/>
      <c r="L19" s="180"/>
      <c r="M19" s="181"/>
      <c r="N19" s="181"/>
      <c r="O19" s="181"/>
    </row>
    <row r="20" spans="1:15" s="175" customFormat="1" ht="21" customHeight="1" x14ac:dyDescent="0.35">
      <c r="A20" s="273" t="s">
        <v>74</v>
      </c>
      <c r="B20" s="371" t="s">
        <v>155</v>
      </c>
      <c r="C20" s="371"/>
      <c r="D20" s="372">
        <f>D19+D18</f>
        <v>414700</v>
      </c>
      <c r="E20" s="373"/>
      <c r="F20" s="373"/>
      <c r="G20" s="374"/>
      <c r="H20" s="372">
        <f>H18+H19</f>
        <v>536254</v>
      </c>
      <c r="I20" s="373"/>
      <c r="J20" s="373"/>
      <c r="K20" s="374"/>
      <c r="L20" s="182"/>
      <c r="M20" s="181"/>
      <c r="N20" s="181"/>
      <c r="O20" s="181"/>
    </row>
    <row r="21" spans="1:15" s="174" customFormat="1" ht="30" customHeight="1" x14ac:dyDescent="0.3">
      <c r="A21" s="16"/>
      <c r="B21" s="60"/>
      <c r="C21" s="41"/>
      <c r="D21" s="41"/>
      <c r="E21" s="44"/>
      <c r="F21" s="58"/>
      <c r="G21" s="58"/>
      <c r="H21" s="126"/>
      <c r="I21" s="126"/>
      <c r="J21" s="58"/>
      <c r="K21" s="127" t="s">
        <v>18</v>
      </c>
      <c r="L21" s="135"/>
      <c r="M21" s="177"/>
      <c r="N21" s="177"/>
      <c r="O21" s="177"/>
    </row>
    <row r="22" spans="1:15" s="174" customFormat="1" ht="21.65" customHeight="1" x14ac:dyDescent="0.35">
      <c r="A22" s="16"/>
      <c r="B22" s="42"/>
      <c r="C22" s="35"/>
      <c r="D22" s="442">
        <v>2022</v>
      </c>
      <c r="E22" s="443"/>
      <c r="F22" s="443"/>
      <c r="G22" s="444"/>
      <c r="H22" s="445">
        <v>2023</v>
      </c>
      <c r="I22" s="446"/>
      <c r="J22" s="446"/>
      <c r="K22" s="447"/>
      <c r="L22" s="137"/>
      <c r="M22" s="177"/>
      <c r="N22" s="177"/>
      <c r="O22" s="177"/>
    </row>
    <row r="23" spans="1:15" s="185" customFormat="1" ht="24" customHeight="1" x14ac:dyDescent="0.35">
      <c r="A23" s="431"/>
      <c r="B23" s="431"/>
      <c r="C23" s="431"/>
      <c r="D23" s="102" t="s">
        <v>180</v>
      </c>
      <c r="E23" s="103" t="s">
        <v>185</v>
      </c>
      <c r="F23" s="103" t="s">
        <v>184</v>
      </c>
      <c r="G23" s="104" t="s">
        <v>177</v>
      </c>
      <c r="H23" s="105" t="s">
        <v>182</v>
      </c>
      <c r="I23" s="106" t="s">
        <v>181</v>
      </c>
      <c r="J23" s="106" t="s">
        <v>183</v>
      </c>
      <c r="K23" s="107" t="s">
        <v>178</v>
      </c>
      <c r="L23" s="138" t="s">
        <v>176</v>
      </c>
      <c r="M23" s="183"/>
      <c r="N23" s="184"/>
      <c r="O23" s="184"/>
    </row>
    <row r="24" spans="1:15" s="7" customFormat="1" x14ac:dyDescent="0.35">
      <c r="A24" s="237" t="s">
        <v>22</v>
      </c>
      <c r="B24" s="434" t="s">
        <v>139</v>
      </c>
      <c r="C24" s="435"/>
      <c r="D24" s="238">
        <f t="shared" ref="D24:K24" si="0">SUM(D25:D33)</f>
        <v>200000</v>
      </c>
      <c r="E24" s="239">
        <f t="shared" si="0"/>
        <v>6300</v>
      </c>
      <c r="F24" s="239">
        <f t="shared" si="0"/>
        <v>206300</v>
      </c>
      <c r="G24" s="240">
        <f t="shared" si="0"/>
        <v>200000</v>
      </c>
      <c r="H24" s="238">
        <f t="shared" si="0"/>
        <v>284000</v>
      </c>
      <c r="I24" s="239">
        <f t="shared" si="0"/>
        <v>6930</v>
      </c>
      <c r="J24" s="239">
        <f t="shared" si="0"/>
        <v>290930</v>
      </c>
      <c r="K24" s="240">
        <f t="shared" si="0"/>
        <v>284000</v>
      </c>
      <c r="L24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4" s="134"/>
      <c r="N24" s="134"/>
      <c r="O24" s="134"/>
    </row>
    <row r="25" spans="1:15" s="7" customFormat="1" x14ac:dyDescent="0.35">
      <c r="A25" s="128" t="str">
        <f>"1."&amp;ROW()-24</f>
        <v>1.1</v>
      </c>
      <c r="B25" s="436" t="s">
        <v>211</v>
      </c>
      <c r="C25" s="437"/>
      <c r="D25" s="81">
        <v>120000</v>
      </c>
      <c r="E25" s="82">
        <v>6300</v>
      </c>
      <c r="F25" s="82">
        <f>SUM(D25,E25)</f>
        <v>126300</v>
      </c>
      <c r="G25" s="83">
        <v>120000</v>
      </c>
      <c r="H25" s="81"/>
      <c r="I25" s="82"/>
      <c r="J25" s="82">
        <f>SUM(H25,I25)</f>
        <v>0</v>
      </c>
      <c r="K25" s="83"/>
      <c r="L25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5" s="134"/>
      <c r="N25" s="134"/>
      <c r="O25" s="134"/>
    </row>
    <row r="26" spans="1:15" s="7" customFormat="1" x14ac:dyDescent="0.35">
      <c r="A26" s="128" t="str">
        <f t="shared" ref="A26:A32" si="1">"1."&amp;ROW()-24</f>
        <v>1.2</v>
      </c>
      <c r="B26" s="429" t="s">
        <v>212</v>
      </c>
      <c r="C26" s="430"/>
      <c r="D26" s="84">
        <v>20000</v>
      </c>
      <c r="E26" s="85">
        <v>0</v>
      </c>
      <c r="F26" s="82">
        <f t="shared" ref="F26:F33" si="2">SUM(D26,E26)</f>
        <v>20000</v>
      </c>
      <c r="G26" s="83">
        <v>20000</v>
      </c>
      <c r="H26" s="84">
        <v>20000</v>
      </c>
      <c r="I26" s="85">
        <v>0</v>
      </c>
      <c r="J26" s="82">
        <f t="shared" ref="J26:J30" si="3">SUM(H26,I26)</f>
        <v>20000</v>
      </c>
      <c r="K26" s="83">
        <v>20000</v>
      </c>
      <c r="L26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6" s="134"/>
      <c r="N26" s="134"/>
      <c r="O26" s="134"/>
    </row>
    <row r="27" spans="1:15" s="7" customFormat="1" x14ac:dyDescent="0.35">
      <c r="A27" s="128" t="str">
        <f t="shared" si="1"/>
        <v>1.3</v>
      </c>
      <c r="B27" s="429" t="s">
        <v>213</v>
      </c>
      <c r="C27" s="430"/>
      <c r="D27" s="84">
        <v>60000</v>
      </c>
      <c r="E27" s="85">
        <v>0</v>
      </c>
      <c r="F27" s="82">
        <f t="shared" si="2"/>
        <v>60000</v>
      </c>
      <c r="G27" s="83">
        <v>60000</v>
      </c>
      <c r="H27" s="84"/>
      <c r="I27" s="85"/>
      <c r="J27" s="82">
        <f t="shared" si="3"/>
        <v>0</v>
      </c>
      <c r="K27" s="83"/>
      <c r="L27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7" s="134"/>
      <c r="N27" s="134"/>
      <c r="O27" s="134"/>
    </row>
    <row r="28" spans="1:15" s="7" customFormat="1" x14ac:dyDescent="0.35">
      <c r="A28" s="128" t="str">
        <f t="shared" si="1"/>
        <v>1.4</v>
      </c>
      <c r="B28" s="429" t="s">
        <v>214</v>
      </c>
      <c r="C28" s="430"/>
      <c r="D28" s="84"/>
      <c r="E28" s="85"/>
      <c r="F28" s="82">
        <f t="shared" si="2"/>
        <v>0</v>
      </c>
      <c r="G28" s="83"/>
      <c r="H28" s="84">
        <v>132000</v>
      </c>
      <c r="I28" s="85">
        <v>6930</v>
      </c>
      <c r="J28" s="82">
        <f t="shared" si="3"/>
        <v>138930</v>
      </c>
      <c r="K28" s="83">
        <v>132000</v>
      </c>
      <c r="L28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8" s="134"/>
      <c r="N28" s="134"/>
      <c r="O28" s="134"/>
    </row>
    <row r="29" spans="1:15" s="7" customFormat="1" x14ac:dyDescent="0.35">
      <c r="A29" s="128" t="str">
        <f t="shared" si="1"/>
        <v>1.5</v>
      </c>
      <c r="B29" s="429" t="s">
        <v>215</v>
      </c>
      <c r="C29" s="430"/>
      <c r="D29" s="84"/>
      <c r="E29" s="85"/>
      <c r="F29" s="82">
        <f t="shared" si="2"/>
        <v>0</v>
      </c>
      <c r="G29" s="83"/>
      <c r="H29" s="84">
        <v>132000</v>
      </c>
      <c r="I29" s="85">
        <v>0</v>
      </c>
      <c r="J29" s="82">
        <f t="shared" si="3"/>
        <v>132000</v>
      </c>
      <c r="K29" s="83">
        <v>132000</v>
      </c>
      <c r="L29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29" s="134"/>
      <c r="N29" s="134"/>
      <c r="O29" s="134"/>
    </row>
    <row r="30" spans="1:15" s="7" customFormat="1" x14ac:dyDescent="0.35">
      <c r="A30" s="128" t="str">
        <f t="shared" si="1"/>
        <v>1.6</v>
      </c>
      <c r="B30" s="429"/>
      <c r="C30" s="430"/>
      <c r="D30" s="84"/>
      <c r="E30" s="85"/>
      <c r="F30" s="82">
        <f t="shared" si="2"/>
        <v>0</v>
      </c>
      <c r="G30" s="83"/>
      <c r="H30" s="84"/>
      <c r="I30" s="85"/>
      <c r="J30" s="82">
        <f t="shared" si="3"/>
        <v>0</v>
      </c>
      <c r="K30" s="83"/>
      <c r="L30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30" s="134"/>
      <c r="N30" s="134"/>
      <c r="O30" s="134"/>
    </row>
    <row r="31" spans="1:15" s="7" customFormat="1" x14ac:dyDescent="0.35">
      <c r="A31" s="128" t="str">
        <f t="shared" si="1"/>
        <v>1.7</v>
      </c>
      <c r="B31" s="158"/>
      <c r="C31" s="159"/>
      <c r="D31" s="84"/>
      <c r="E31" s="85"/>
      <c r="F31" s="82">
        <f>SUM(D31:E31)</f>
        <v>0</v>
      </c>
      <c r="G31" s="83"/>
      <c r="H31" s="84"/>
      <c r="I31" s="85"/>
      <c r="J31" s="82">
        <f>SUM(H31:I31)</f>
        <v>0</v>
      </c>
      <c r="K31" s="83"/>
      <c r="L31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31" s="134"/>
      <c r="N31" s="134"/>
      <c r="O31" s="134"/>
    </row>
    <row r="32" spans="1:15" s="7" customFormat="1" x14ac:dyDescent="0.35">
      <c r="A32" s="128" t="str">
        <f t="shared" si="1"/>
        <v>1.8</v>
      </c>
      <c r="B32" s="158"/>
      <c r="C32" s="159"/>
      <c r="D32" s="84"/>
      <c r="E32" s="85"/>
      <c r="F32" s="82">
        <f>SUM(D32:E32)</f>
        <v>0</v>
      </c>
      <c r="G32" s="83"/>
      <c r="H32" s="84"/>
      <c r="I32" s="85"/>
      <c r="J32" s="82">
        <f>SUM(H32:I32)</f>
        <v>0</v>
      </c>
      <c r="K32" s="83"/>
      <c r="L32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32" s="134"/>
      <c r="N32" s="134"/>
      <c r="O32" s="134"/>
    </row>
    <row r="33" spans="1:15" s="7" customFormat="1" x14ac:dyDescent="0.35">
      <c r="A33" s="128" t="str">
        <f>"1."&amp;ROW()-24</f>
        <v>1.9</v>
      </c>
      <c r="B33" s="429"/>
      <c r="C33" s="430"/>
      <c r="D33" s="84"/>
      <c r="E33" s="85"/>
      <c r="F33" s="82">
        <f t="shared" si="2"/>
        <v>0</v>
      </c>
      <c r="G33" s="83"/>
      <c r="H33" s="84"/>
      <c r="I33" s="85"/>
      <c r="J33" s="82">
        <f t="shared" ref="J33" si="4">SUM(H33,I33)</f>
        <v>0</v>
      </c>
      <c r="K33" s="83"/>
      <c r="L33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33" s="134"/>
      <c r="N33" s="134"/>
      <c r="O33" s="134"/>
    </row>
    <row r="34" spans="1:15" s="7" customFormat="1" x14ac:dyDescent="0.35">
      <c r="A34" s="237" t="s">
        <v>23</v>
      </c>
      <c r="B34" s="438" t="s">
        <v>140</v>
      </c>
      <c r="C34" s="439"/>
      <c r="D34" s="241">
        <f t="shared" ref="D34:K34" si="5">SUM(D35,D46,D57,D62,D71)</f>
        <v>112000</v>
      </c>
      <c r="E34" s="239">
        <f t="shared" si="5"/>
        <v>23520</v>
      </c>
      <c r="F34" s="239">
        <f t="shared" si="5"/>
        <v>135520</v>
      </c>
      <c r="G34" s="242">
        <f t="shared" si="5"/>
        <v>31480</v>
      </c>
      <c r="H34" s="241">
        <f t="shared" si="5"/>
        <v>115000</v>
      </c>
      <c r="I34" s="239">
        <f t="shared" si="5"/>
        <v>24150</v>
      </c>
      <c r="J34" s="239">
        <f t="shared" si="5"/>
        <v>139150</v>
      </c>
      <c r="K34" s="242">
        <f t="shared" si="5"/>
        <v>21000</v>
      </c>
      <c r="L34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  <c r="M34" s="134"/>
      <c r="N34" s="134"/>
      <c r="O34" s="134"/>
    </row>
    <row r="35" spans="1:15" s="7" customFormat="1" x14ac:dyDescent="0.35">
      <c r="A35" s="233" t="s">
        <v>24</v>
      </c>
      <c r="B35" s="440" t="s">
        <v>25</v>
      </c>
      <c r="C35" s="441"/>
      <c r="D35" s="234">
        <f t="shared" ref="D35:K35" si="6">SUM(D36:D45)</f>
        <v>80000</v>
      </c>
      <c r="E35" s="235">
        <f t="shared" si="6"/>
        <v>16800</v>
      </c>
      <c r="F35" s="235">
        <f t="shared" si="6"/>
        <v>96800</v>
      </c>
      <c r="G35" s="236">
        <f t="shared" si="6"/>
        <v>20000</v>
      </c>
      <c r="H35" s="234">
        <f t="shared" si="6"/>
        <v>80000</v>
      </c>
      <c r="I35" s="235">
        <f t="shared" si="6"/>
        <v>16800</v>
      </c>
      <c r="J35" s="235">
        <f t="shared" si="6"/>
        <v>96800</v>
      </c>
      <c r="K35" s="236">
        <f t="shared" si="6"/>
        <v>21000</v>
      </c>
      <c r="L35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6" spans="1:15" s="7" customFormat="1" x14ac:dyDescent="0.35">
      <c r="A36" s="128" t="str">
        <f>$A$35&amp;(ROW()-ROW(A$35))</f>
        <v>2.1</v>
      </c>
      <c r="B36" s="427" t="s">
        <v>26</v>
      </c>
      <c r="C36" s="428"/>
      <c r="D36" s="81"/>
      <c r="E36" s="82"/>
      <c r="F36" s="82">
        <f>SUM(D36:E36)</f>
        <v>0</v>
      </c>
      <c r="G36" s="83"/>
      <c r="H36" s="81"/>
      <c r="I36" s="82"/>
      <c r="J36" s="82">
        <f>SUM(H36:I36)</f>
        <v>0</v>
      </c>
      <c r="K36" s="83"/>
      <c r="L36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7" spans="1:15" s="7" customFormat="1" x14ac:dyDescent="0.35">
      <c r="A37" s="128" t="str">
        <f t="shared" ref="A37:A45" si="7">$A$35&amp;(ROW()-ROW(A$35))</f>
        <v>2.2</v>
      </c>
      <c r="B37" s="388" t="s">
        <v>27</v>
      </c>
      <c r="C37" s="389"/>
      <c r="D37" s="84">
        <v>20000</v>
      </c>
      <c r="E37" s="85">
        <v>4200</v>
      </c>
      <c r="F37" s="82">
        <f>SUM(D37:E37)</f>
        <v>24200</v>
      </c>
      <c r="G37" s="83">
        <v>20000</v>
      </c>
      <c r="H37" s="84">
        <v>30000</v>
      </c>
      <c r="I37" s="85">
        <v>6300</v>
      </c>
      <c r="J37" s="82">
        <f>SUM(H37:I37)</f>
        <v>36300</v>
      </c>
      <c r="K37" s="83">
        <v>21000</v>
      </c>
      <c r="L37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8" spans="1:15" s="7" customFormat="1" x14ac:dyDescent="0.35">
      <c r="A38" s="128" t="str">
        <f t="shared" si="7"/>
        <v>2.3</v>
      </c>
      <c r="B38" s="388" t="s">
        <v>28</v>
      </c>
      <c r="C38" s="389"/>
      <c r="D38" s="84"/>
      <c r="E38" s="85"/>
      <c r="F38" s="82">
        <f t="shared" ref="F38:F45" si="8">SUM(D38:E38)</f>
        <v>0</v>
      </c>
      <c r="G38" s="83"/>
      <c r="H38" s="84"/>
      <c r="I38" s="85"/>
      <c r="J38" s="82">
        <f t="shared" ref="J38:J45" si="9">SUM(H38:I38)</f>
        <v>0</v>
      </c>
      <c r="K38" s="83"/>
      <c r="L38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39" spans="1:15" s="7" customFormat="1" x14ac:dyDescent="0.35">
      <c r="A39" s="128" t="str">
        <f t="shared" si="7"/>
        <v>2.4</v>
      </c>
      <c r="B39" s="388" t="s">
        <v>29</v>
      </c>
      <c r="C39" s="389"/>
      <c r="D39" s="84"/>
      <c r="E39" s="85"/>
      <c r="F39" s="82">
        <f t="shared" si="8"/>
        <v>0</v>
      </c>
      <c r="G39" s="83"/>
      <c r="H39" s="84"/>
      <c r="I39" s="85"/>
      <c r="J39" s="82">
        <f t="shared" si="9"/>
        <v>0</v>
      </c>
      <c r="K39" s="83"/>
      <c r="L39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0" spans="1:15" s="7" customFormat="1" x14ac:dyDescent="0.35">
      <c r="A40" s="128" t="str">
        <f t="shared" si="7"/>
        <v>2.5</v>
      </c>
      <c r="B40" s="388" t="s">
        <v>30</v>
      </c>
      <c r="C40" s="389"/>
      <c r="D40" s="84">
        <v>60000</v>
      </c>
      <c r="E40" s="85">
        <v>12600</v>
      </c>
      <c r="F40" s="82">
        <f t="shared" si="8"/>
        <v>72600</v>
      </c>
      <c r="G40" s="83">
        <v>0</v>
      </c>
      <c r="H40" s="84">
        <v>50000</v>
      </c>
      <c r="I40" s="85">
        <v>10500</v>
      </c>
      <c r="J40" s="82">
        <f t="shared" si="9"/>
        <v>60500</v>
      </c>
      <c r="K40" s="83">
        <v>0</v>
      </c>
      <c r="L40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1" spans="1:15" s="7" customFormat="1" ht="15" customHeight="1" x14ac:dyDescent="0.35">
      <c r="A41" s="128" t="str">
        <f t="shared" si="7"/>
        <v>2.6</v>
      </c>
      <c r="B41" s="388" t="s">
        <v>31</v>
      </c>
      <c r="C41" s="389"/>
      <c r="D41" s="84"/>
      <c r="E41" s="85"/>
      <c r="F41" s="82">
        <f t="shared" si="8"/>
        <v>0</v>
      </c>
      <c r="G41" s="83"/>
      <c r="H41" s="84"/>
      <c r="I41" s="85"/>
      <c r="J41" s="82">
        <f t="shared" si="9"/>
        <v>0</v>
      </c>
      <c r="K41" s="83"/>
      <c r="L41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2" spans="1:15" s="7" customFormat="1" x14ac:dyDescent="0.35">
      <c r="A42" s="128" t="str">
        <f t="shared" si="7"/>
        <v>2.7</v>
      </c>
      <c r="B42" s="457" t="s">
        <v>39</v>
      </c>
      <c r="C42" s="458"/>
      <c r="D42" s="84"/>
      <c r="E42" s="85"/>
      <c r="F42" s="82">
        <f t="shared" si="8"/>
        <v>0</v>
      </c>
      <c r="G42" s="83"/>
      <c r="H42" s="84"/>
      <c r="I42" s="85"/>
      <c r="J42" s="82">
        <f t="shared" si="9"/>
        <v>0</v>
      </c>
      <c r="K42" s="83"/>
      <c r="L42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3" spans="1:15" s="7" customFormat="1" x14ac:dyDescent="0.35">
      <c r="A43" s="128" t="str">
        <f t="shared" si="7"/>
        <v>2.8</v>
      </c>
      <c r="B43" s="388"/>
      <c r="C43" s="389"/>
      <c r="D43" s="84"/>
      <c r="E43" s="85"/>
      <c r="F43" s="82">
        <f t="shared" si="8"/>
        <v>0</v>
      </c>
      <c r="G43" s="83"/>
      <c r="H43" s="84"/>
      <c r="I43" s="85"/>
      <c r="J43" s="82">
        <f t="shared" si="9"/>
        <v>0</v>
      </c>
      <c r="K43" s="83"/>
      <c r="L43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4" spans="1:15" s="7" customFormat="1" x14ac:dyDescent="0.35">
      <c r="A44" s="128" t="str">
        <f t="shared" si="7"/>
        <v>2.9</v>
      </c>
      <c r="B44" s="425"/>
      <c r="C44" s="426"/>
      <c r="D44" s="84"/>
      <c r="E44" s="85"/>
      <c r="F44" s="82">
        <f t="shared" si="8"/>
        <v>0</v>
      </c>
      <c r="G44" s="83"/>
      <c r="H44" s="84"/>
      <c r="I44" s="85"/>
      <c r="J44" s="82">
        <f t="shared" si="9"/>
        <v>0</v>
      </c>
      <c r="K44" s="83"/>
      <c r="L44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5" spans="1:15" s="7" customFormat="1" x14ac:dyDescent="0.35">
      <c r="A45" s="128" t="str">
        <f t="shared" si="7"/>
        <v>2.10</v>
      </c>
      <c r="B45" s="390"/>
      <c r="C45" s="391"/>
      <c r="D45" s="97"/>
      <c r="E45" s="98"/>
      <c r="F45" s="95">
        <f t="shared" si="8"/>
        <v>0</v>
      </c>
      <c r="G45" s="96"/>
      <c r="H45" s="97"/>
      <c r="I45" s="98"/>
      <c r="J45" s="95">
        <f t="shared" si="9"/>
        <v>0</v>
      </c>
      <c r="K45" s="96"/>
      <c r="L45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6" spans="1:15" s="7" customFormat="1" x14ac:dyDescent="0.35">
      <c r="A46" s="163" t="s">
        <v>32</v>
      </c>
      <c r="B46" s="392" t="s">
        <v>33</v>
      </c>
      <c r="C46" s="393"/>
      <c r="D46" s="165">
        <f t="shared" ref="D46:K46" si="10">SUM(D47:D56)</f>
        <v>0</v>
      </c>
      <c r="E46" s="164">
        <f t="shared" si="10"/>
        <v>0</v>
      </c>
      <c r="F46" s="164">
        <f t="shared" si="10"/>
        <v>0</v>
      </c>
      <c r="G46" s="166">
        <f t="shared" si="10"/>
        <v>0</v>
      </c>
      <c r="H46" s="165">
        <f t="shared" si="10"/>
        <v>0</v>
      </c>
      <c r="I46" s="164">
        <f t="shared" si="10"/>
        <v>0</v>
      </c>
      <c r="J46" s="164">
        <f t="shared" si="10"/>
        <v>0</v>
      </c>
      <c r="K46" s="166">
        <f t="shared" si="10"/>
        <v>0</v>
      </c>
      <c r="L46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7" spans="1:15" s="7" customFormat="1" ht="15" customHeight="1" x14ac:dyDescent="0.35">
      <c r="A47" s="128" t="str">
        <f>$A$46&amp;(ROW()-ROW(A$46))</f>
        <v>3.1</v>
      </c>
      <c r="B47" s="427" t="s">
        <v>34</v>
      </c>
      <c r="C47" s="428"/>
      <c r="D47" s="81"/>
      <c r="E47" s="82"/>
      <c r="F47" s="82">
        <f>SUM(D47:E47)</f>
        <v>0</v>
      </c>
      <c r="G47" s="83"/>
      <c r="H47" s="81"/>
      <c r="I47" s="82"/>
      <c r="J47" s="82">
        <f>SUM(H47:I47)</f>
        <v>0</v>
      </c>
      <c r="K47" s="83"/>
      <c r="L47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8" spans="1:15" s="7" customFormat="1" x14ac:dyDescent="0.35">
      <c r="A48" s="128" t="str">
        <f t="shared" ref="A48:A56" si="11">$A$46&amp;(ROW()-ROW(A$46))</f>
        <v>3.2</v>
      </c>
      <c r="B48" s="388" t="s">
        <v>35</v>
      </c>
      <c r="C48" s="389"/>
      <c r="D48" s="84"/>
      <c r="E48" s="85"/>
      <c r="F48" s="82">
        <f t="shared" ref="F48:F56" si="12">SUM(D48:E48)</f>
        <v>0</v>
      </c>
      <c r="G48" s="83"/>
      <c r="H48" s="84"/>
      <c r="I48" s="85"/>
      <c r="J48" s="82">
        <f t="shared" ref="J48:J52" si="13">SUM(H48:I48)</f>
        <v>0</v>
      </c>
      <c r="K48" s="83"/>
      <c r="L48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49" spans="1:12" s="7" customFormat="1" x14ac:dyDescent="0.35">
      <c r="A49" s="128" t="str">
        <f t="shared" si="11"/>
        <v>3.3</v>
      </c>
      <c r="B49" s="388" t="s">
        <v>36</v>
      </c>
      <c r="C49" s="389"/>
      <c r="D49" s="84"/>
      <c r="E49" s="85"/>
      <c r="F49" s="82">
        <f t="shared" si="12"/>
        <v>0</v>
      </c>
      <c r="G49" s="83"/>
      <c r="H49" s="84"/>
      <c r="I49" s="85"/>
      <c r="J49" s="82">
        <f t="shared" si="13"/>
        <v>0</v>
      </c>
      <c r="K49" s="83"/>
      <c r="L49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0" spans="1:12" s="7" customFormat="1" x14ac:dyDescent="0.35">
      <c r="A50" s="128" t="str">
        <f t="shared" si="11"/>
        <v>3.4</v>
      </c>
      <c r="B50" s="388" t="s">
        <v>37</v>
      </c>
      <c r="C50" s="389"/>
      <c r="D50" s="84"/>
      <c r="E50" s="85"/>
      <c r="F50" s="82">
        <f t="shared" si="12"/>
        <v>0</v>
      </c>
      <c r="G50" s="83"/>
      <c r="H50" s="84"/>
      <c r="I50" s="85"/>
      <c r="J50" s="82">
        <f t="shared" si="13"/>
        <v>0</v>
      </c>
      <c r="K50" s="83"/>
      <c r="L50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1" spans="1:12" s="7" customFormat="1" x14ac:dyDescent="0.35">
      <c r="A51" s="128" t="str">
        <f t="shared" si="11"/>
        <v>3.5</v>
      </c>
      <c r="B51" s="388" t="s">
        <v>38</v>
      </c>
      <c r="C51" s="389"/>
      <c r="D51" s="84"/>
      <c r="E51" s="85"/>
      <c r="F51" s="82">
        <f t="shared" si="12"/>
        <v>0</v>
      </c>
      <c r="G51" s="83"/>
      <c r="H51" s="84"/>
      <c r="I51" s="85"/>
      <c r="J51" s="82">
        <f t="shared" si="13"/>
        <v>0</v>
      </c>
      <c r="K51" s="83"/>
      <c r="L51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2" spans="1:12" s="7" customFormat="1" x14ac:dyDescent="0.35">
      <c r="A52" s="128" t="str">
        <f t="shared" si="11"/>
        <v>3.6</v>
      </c>
      <c r="B52" s="388" t="s">
        <v>39</v>
      </c>
      <c r="C52" s="389"/>
      <c r="D52" s="84"/>
      <c r="E52" s="85"/>
      <c r="F52" s="82">
        <f t="shared" si="12"/>
        <v>0</v>
      </c>
      <c r="G52" s="83"/>
      <c r="H52" s="84"/>
      <c r="I52" s="85"/>
      <c r="J52" s="82">
        <f t="shared" si="13"/>
        <v>0</v>
      </c>
      <c r="K52" s="83"/>
      <c r="L52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3" spans="1:12" s="7" customFormat="1" x14ac:dyDescent="0.35">
      <c r="A53" s="128" t="str">
        <f t="shared" si="11"/>
        <v>3.7</v>
      </c>
      <c r="B53" s="156"/>
      <c r="C53" s="157"/>
      <c r="D53" s="84"/>
      <c r="E53" s="85"/>
      <c r="F53" s="82">
        <f>SUM(D53:E53)</f>
        <v>0</v>
      </c>
      <c r="G53" s="83"/>
      <c r="H53" s="84"/>
      <c r="I53" s="85"/>
      <c r="J53" s="82">
        <f>SUM(H53:I53)</f>
        <v>0</v>
      </c>
      <c r="K53" s="83"/>
      <c r="L53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4" spans="1:12" s="7" customFormat="1" x14ac:dyDescent="0.35">
      <c r="A54" s="128" t="str">
        <f t="shared" si="11"/>
        <v>3.8</v>
      </c>
      <c r="B54" s="156"/>
      <c r="C54" s="157"/>
      <c r="D54" s="84"/>
      <c r="E54" s="85"/>
      <c r="F54" s="82">
        <f>SUM(D54:E54)</f>
        <v>0</v>
      </c>
      <c r="G54" s="83"/>
      <c r="H54" s="84"/>
      <c r="I54" s="85"/>
      <c r="J54" s="82">
        <f>SUM(H54:I54)</f>
        <v>0</v>
      </c>
      <c r="K54" s="83"/>
      <c r="L54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5" spans="1:12" s="7" customFormat="1" x14ac:dyDescent="0.35">
      <c r="A55" s="128" t="str">
        <f t="shared" si="11"/>
        <v>3.9</v>
      </c>
      <c r="B55" s="156"/>
      <c r="C55" s="157"/>
      <c r="D55" s="84"/>
      <c r="E55" s="85"/>
      <c r="F55" s="82">
        <f>SUM(D55:E55)</f>
        <v>0</v>
      </c>
      <c r="G55" s="83"/>
      <c r="H55" s="84"/>
      <c r="I55" s="85"/>
      <c r="J55" s="82">
        <f>SUM(H55:I55)</f>
        <v>0</v>
      </c>
      <c r="K55" s="83"/>
      <c r="L55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6" spans="1:12" s="7" customFormat="1" x14ac:dyDescent="0.35">
      <c r="A56" s="128" t="str">
        <f t="shared" si="11"/>
        <v>3.10</v>
      </c>
      <c r="B56" s="390"/>
      <c r="C56" s="391"/>
      <c r="D56" s="97"/>
      <c r="E56" s="98"/>
      <c r="F56" s="95">
        <f t="shared" si="12"/>
        <v>0</v>
      </c>
      <c r="G56" s="96"/>
      <c r="H56" s="97"/>
      <c r="I56" s="98"/>
      <c r="J56" s="95">
        <f t="shared" ref="J56" si="14">SUM(H56:I56)</f>
        <v>0</v>
      </c>
      <c r="K56" s="96"/>
      <c r="L56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7" spans="1:12" s="7" customFormat="1" x14ac:dyDescent="0.35">
      <c r="A57" s="163" t="s">
        <v>40</v>
      </c>
      <c r="B57" s="392" t="s">
        <v>42</v>
      </c>
      <c r="C57" s="393"/>
      <c r="D57" s="165">
        <f t="shared" ref="D57:K57" si="15">SUM(D58:D61)</f>
        <v>0</v>
      </c>
      <c r="E57" s="164">
        <f t="shared" si="15"/>
        <v>0</v>
      </c>
      <c r="F57" s="164">
        <f t="shared" si="15"/>
        <v>0</v>
      </c>
      <c r="G57" s="166">
        <f t="shared" si="15"/>
        <v>0</v>
      </c>
      <c r="H57" s="165">
        <f t="shared" si="15"/>
        <v>0</v>
      </c>
      <c r="I57" s="164">
        <f t="shared" si="15"/>
        <v>0</v>
      </c>
      <c r="J57" s="164">
        <f t="shared" si="15"/>
        <v>0</v>
      </c>
      <c r="K57" s="166">
        <f t="shared" si="15"/>
        <v>0</v>
      </c>
      <c r="L57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8" spans="1:12" s="7" customFormat="1" x14ac:dyDescent="0.35">
      <c r="A58" s="128" t="str">
        <f>$A$57&amp;(ROW()-ROW(A$57))</f>
        <v>4.1</v>
      </c>
      <c r="B58" s="427" t="s">
        <v>43</v>
      </c>
      <c r="C58" s="428"/>
      <c r="D58" s="81"/>
      <c r="E58" s="82"/>
      <c r="F58" s="82">
        <f>SUM(D58:E58)</f>
        <v>0</v>
      </c>
      <c r="G58" s="83"/>
      <c r="H58" s="81"/>
      <c r="I58" s="82"/>
      <c r="J58" s="82">
        <f>SUM(H58:I58)</f>
        <v>0</v>
      </c>
      <c r="K58" s="83"/>
      <c r="L58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59" spans="1:12" s="7" customFormat="1" x14ac:dyDescent="0.35">
      <c r="A59" s="128" t="str">
        <f t="shared" ref="A59:A61" si="16">"4."&amp;(ROW()-ROW(A$57))</f>
        <v>4.2</v>
      </c>
      <c r="B59" s="388" t="s">
        <v>44</v>
      </c>
      <c r="C59" s="389"/>
      <c r="D59" s="84"/>
      <c r="E59" s="85"/>
      <c r="F59" s="85">
        <f>SUM(D59:E59)</f>
        <v>0</v>
      </c>
      <c r="G59" s="86"/>
      <c r="H59" s="84"/>
      <c r="I59" s="85"/>
      <c r="J59" s="85">
        <f>SUM(H59:I59)</f>
        <v>0</v>
      </c>
      <c r="K59" s="86"/>
      <c r="L59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0" spans="1:12" s="7" customFormat="1" x14ac:dyDescent="0.35">
      <c r="A60" s="128" t="str">
        <f t="shared" si="16"/>
        <v>4.3</v>
      </c>
      <c r="B60" s="388" t="s">
        <v>45</v>
      </c>
      <c r="C60" s="389"/>
      <c r="D60" s="84"/>
      <c r="E60" s="85"/>
      <c r="F60" s="85">
        <f>SUM(D60:E60)</f>
        <v>0</v>
      </c>
      <c r="G60" s="86"/>
      <c r="H60" s="84"/>
      <c r="I60" s="85"/>
      <c r="J60" s="85">
        <f>SUM(H60:I60)</f>
        <v>0</v>
      </c>
      <c r="K60" s="86"/>
      <c r="L60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1" spans="1:12" s="7" customFormat="1" x14ac:dyDescent="0.35">
      <c r="A61" s="128" t="str">
        <f t="shared" si="16"/>
        <v>4.4</v>
      </c>
      <c r="B61" s="390"/>
      <c r="C61" s="391"/>
      <c r="D61" s="97"/>
      <c r="E61" s="98"/>
      <c r="F61" s="98">
        <f>SUM(D61:E61)</f>
        <v>0</v>
      </c>
      <c r="G61" s="125"/>
      <c r="H61" s="97"/>
      <c r="I61" s="98"/>
      <c r="J61" s="98">
        <f>SUM(H61:I61)</f>
        <v>0</v>
      </c>
      <c r="K61" s="125"/>
      <c r="L61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2" spans="1:12" s="7" customFormat="1" ht="15" customHeight="1" x14ac:dyDescent="0.35">
      <c r="A62" s="163" t="s">
        <v>41</v>
      </c>
      <c r="B62" s="392" t="s">
        <v>47</v>
      </c>
      <c r="C62" s="393"/>
      <c r="D62" s="165">
        <f t="shared" ref="D62:K62" si="17">SUM(D63:D70)</f>
        <v>32000</v>
      </c>
      <c r="E62" s="164">
        <f t="shared" si="17"/>
        <v>6720</v>
      </c>
      <c r="F62" s="164">
        <f t="shared" si="17"/>
        <v>38720</v>
      </c>
      <c r="G62" s="166">
        <f t="shared" si="17"/>
        <v>11480</v>
      </c>
      <c r="H62" s="165">
        <f t="shared" si="17"/>
        <v>35000</v>
      </c>
      <c r="I62" s="164">
        <f t="shared" si="17"/>
        <v>7350</v>
      </c>
      <c r="J62" s="164">
        <f t="shared" si="17"/>
        <v>42350</v>
      </c>
      <c r="K62" s="166">
        <f t="shared" si="17"/>
        <v>0</v>
      </c>
      <c r="L62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3" spans="1:12" s="7" customFormat="1" x14ac:dyDescent="0.35">
      <c r="A63" s="128" t="str">
        <f>$A$62&amp;(ROW()-ROW($A$62))</f>
        <v>5.1</v>
      </c>
      <c r="B63" s="427" t="s">
        <v>48</v>
      </c>
      <c r="C63" s="428"/>
      <c r="D63" s="81">
        <v>12000</v>
      </c>
      <c r="E63" s="82">
        <v>2520</v>
      </c>
      <c r="F63" s="82">
        <f t="shared" ref="F63:F70" si="18">SUM(D63:E63)</f>
        <v>14520</v>
      </c>
      <c r="G63" s="83">
        <v>11480</v>
      </c>
      <c r="H63" s="81">
        <v>15000</v>
      </c>
      <c r="I63" s="82">
        <v>3150</v>
      </c>
      <c r="J63" s="82">
        <f t="shared" ref="J63:J70" si="19">SUM(H63:I63)</f>
        <v>18150</v>
      </c>
      <c r="K63" s="83">
        <v>0</v>
      </c>
      <c r="L63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4" spans="1:12" s="7" customFormat="1" x14ac:dyDescent="0.35">
      <c r="A64" s="128" t="str">
        <f t="shared" ref="A64:A70" si="20">$A$62&amp;(ROW()-ROW($A$62))</f>
        <v>5.2</v>
      </c>
      <c r="B64" s="388" t="s">
        <v>49</v>
      </c>
      <c r="C64" s="389"/>
      <c r="D64" s="84">
        <v>20000</v>
      </c>
      <c r="E64" s="85">
        <v>4200</v>
      </c>
      <c r="F64" s="82">
        <f t="shared" si="18"/>
        <v>24200</v>
      </c>
      <c r="G64" s="83">
        <v>0</v>
      </c>
      <c r="H64" s="84">
        <v>20000</v>
      </c>
      <c r="I64" s="85">
        <v>4200</v>
      </c>
      <c r="J64" s="82">
        <f t="shared" si="19"/>
        <v>24200</v>
      </c>
      <c r="K64" s="83">
        <v>0</v>
      </c>
      <c r="L64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5" spans="1:12" s="7" customFormat="1" ht="15" customHeight="1" x14ac:dyDescent="0.35">
      <c r="A65" s="128" t="str">
        <f t="shared" si="20"/>
        <v>5.3</v>
      </c>
      <c r="B65" s="388" t="s">
        <v>50</v>
      </c>
      <c r="C65" s="389"/>
      <c r="D65" s="84"/>
      <c r="E65" s="85"/>
      <c r="F65" s="82">
        <f t="shared" si="18"/>
        <v>0</v>
      </c>
      <c r="G65" s="83"/>
      <c r="H65" s="84"/>
      <c r="I65" s="85"/>
      <c r="J65" s="82">
        <f t="shared" si="19"/>
        <v>0</v>
      </c>
      <c r="K65" s="83"/>
      <c r="L65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6" spans="1:12" s="7" customFormat="1" x14ac:dyDescent="0.35">
      <c r="A66" s="128" t="str">
        <f t="shared" si="20"/>
        <v>5.4</v>
      </c>
      <c r="B66" s="388" t="s">
        <v>51</v>
      </c>
      <c r="C66" s="389"/>
      <c r="D66" s="84"/>
      <c r="E66" s="85"/>
      <c r="F66" s="82">
        <f t="shared" si="18"/>
        <v>0</v>
      </c>
      <c r="G66" s="83"/>
      <c r="H66" s="84"/>
      <c r="I66" s="85"/>
      <c r="J66" s="82">
        <f t="shared" si="19"/>
        <v>0</v>
      </c>
      <c r="K66" s="83"/>
      <c r="L66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7" spans="1:12" s="7" customFormat="1" x14ac:dyDescent="0.35">
      <c r="A67" s="128" t="str">
        <f t="shared" si="20"/>
        <v>5.5</v>
      </c>
      <c r="B67" s="388" t="s">
        <v>39</v>
      </c>
      <c r="C67" s="389"/>
      <c r="D67" s="84"/>
      <c r="E67" s="85"/>
      <c r="F67" s="82">
        <f t="shared" si="18"/>
        <v>0</v>
      </c>
      <c r="G67" s="83"/>
      <c r="H67" s="84"/>
      <c r="I67" s="85"/>
      <c r="J67" s="82">
        <f t="shared" si="19"/>
        <v>0</v>
      </c>
      <c r="K67" s="83"/>
      <c r="L67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8" spans="1:12" s="7" customFormat="1" x14ac:dyDescent="0.35">
      <c r="A68" s="128" t="str">
        <f t="shared" si="20"/>
        <v>5.6</v>
      </c>
      <c r="B68" s="455"/>
      <c r="C68" s="456"/>
      <c r="D68" s="84"/>
      <c r="E68" s="85"/>
      <c r="F68" s="82">
        <f t="shared" si="18"/>
        <v>0</v>
      </c>
      <c r="G68" s="83"/>
      <c r="H68" s="84"/>
      <c r="I68" s="85"/>
      <c r="J68" s="82">
        <f t="shared" si="19"/>
        <v>0</v>
      </c>
      <c r="K68" s="83"/>
      <c r="L68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69" spans="1:12" s="7" customFormat="1" x14ac:dyDescent="0.35">
      <c r="A69" s="128" t="str">
        <f>$A$62&amp;(ROW()-ROW($A$62))</f>
        <v>5.7</v>
      </c>
      <c r="B69" s="388"/>
      <c r="C69" s="389"/>
      <c r="D69" s="84"/>
      <c r="E69" s="85"/>
      <c r="F69" s="82">
        <f t="shared" si="18"/>
        <v>0</v>
      </c>
      <c r="G69" s="83"/>
      <c r="H69" s="84"/>
      <c r="I69" s="85"/>
      <c r="J69" s="82">
        <f t="shared" si="19"/>
        <v>0</v>
      </c>
      <c r="K69" s="83"/>
      <c r="L69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0" spans="1:12" s="7" customFormat="1" x14ac:dyDescent="0.35">
      <c r="A70" s="128" t="str">
        <f t="shared" si="20"/>
        <v>5.8</v>
      </c>
      <c r="B70" s="390"/>
      <c r="C70" s="391"/>
      <c r="D70" s="97"/>
      <c r="E70" s="98"/>
      <c r="F70" s="95">
        <f t="shared" si="18"/>
        <v>0</v>
      </c>
      <c r="G70" s="96"/>
      <c r="H70" s="97"/>
      <c r="I70" s="98"/>
      <c r="J70" s="95">
        <f t="shared" si="19"/>
        <v>0</v>
      </c>
      <c r="K70" s="96"/>
      <c r="L70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1" spans="1:12" s="7" customFormat="1" x14ac:dyDescent="0.35">
      <c r="A71" s="163" t="s">
        <v>46</v>
      </c>
      <c r="B71" s="432" t="s">
        <v>52</v>
      </c>
      <c r="C71" s="433"/>
      <c r="D71" s="165">
        <f t="shared" ref="D71:K71" si="21">SUM(D72:D79)</f>
        <v>0</v>
      </c>
      <c r="E71" s="164">
        <f t="shared" si="21"/>
        <v>0</v>
      </c>
      <c r="F71" s="164">
        <f t="shared" si="21"/>
        <v>0</v>
      </c>
      <c r="G71" s="166">
        <f t="shared" si="21"/>
        <v>0</v>
      </c>
      <c r="H71" s="165">
        <f t="shared" si="21"/>
        <v>0</v>
      </c>
      <c r="I71" s="164">
        <f t="shared" si="21"/>
        <v>0</v>
      </c>
      <c r="J71" s="164">
        <f t="shared" si="21"/>
        <v>0</v>
      </c>
      <c r="K71" s="166">
        <f t="shared" si="21"/>
        <v>0</v>
      </c>
      <c r="L71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2" spans="1:12" s="7" customFormat="1" ht="15" customHeight="1" x14ac:dyDescent="0.35">
      <c r="A72" s="128" t="str">
        <f>$A$71&amp;(ROW()-ROW($A$71))</f>
        <v>6.1</v>
      </c>
      <c r="B72" s="421" t="s">
        <v>53</v>
      </c>
      <c r="C72" s="422"/>
      <c r="D72" s="81"/>
      <c r="E72" s="82"/>
      <c r="F72" s="82">
        <f t="shared" ref="F72:F79" si="22">SUM(D72:E72)</f>
        <v>0</v>
      </c>
      <c r="G72" s="83"/>
      <c r="H72" s="81"/>
      <c r="I72" s="82"/>
      <c r="J72" s="82">
        <f t="shared" ref="J72:J79" si="23">SUM(H72:I72)</f>
        <v>0</v>
      </c>
      <c r="K72" s="83"/>
      <c r="L72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3" spans="1:12" s="7" customFormat="1" ht="15" customHeight="1" x14ac:dyDescent="0.35">
      <c r="A73" s="128" t="str">
        <f t="shared" ref="A73:A79" si="24">$A$71&amp;(ROW()-ROW($A$71))</f>
        <v>6.2</v>
      </c>
      <c r="B73" s="411" t="s">
        <v>54</v>
      </c>
      <c r="C73" s="412"/>
      <c r="D73" s="81"/>
      <c r="E73" s="82"/>
      <c r="F73" s="82">
        <f t="shared" si="22"/>
        <v>0</v>
      </c>
      <c r="G73" s="83"/>
      <c r="H73" s="81"/>
      <c r="I73" s="82"/>
      <c r="J73" s="82">
        <f t="shared" si="23"/>
        <v>0</v>
      </c>
      <c r="K73" s="83"/>
      <c r="L73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4" spans="1:12" s="7" customFormat="1" x14ac:dyDescent="0.35">
      <c r="A74" s="128" t="str">
        <f t="shared" si="24"/>
        <v>6.3</v>
      </c>
      <c r="B74" s="411" t="s">
        <v>55</v>
      </c>
      <c r="C74" s="412"/>
      <c r="D74" s="84"/>
      <c r="E74" s="85"/>
      <c r="F74" s="82">
        <f t="shared" si="22"/>
        <v>0</v>
      </c>
      <c r="G74" s="83"/>
      <c r="H74" s="84"/>
      <c r="I74" s="85"/>
      <c r="J74" s="82">
        <f t="shared" si="23"/>
        <v>0</v>
      </c>
      <c r="K74" s="83"/>
      <c r="L74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5" spans="1:12" s="7" customFormat="1" x14ac:dyDescent="0.35">
      <c r="A75" s="128" t="str">
        <f t="shared" si="24"/>
        <v>6.4</v>
      </c>
      <c r="B75" s="453" t="s">
        <v>56</v>
      </c>
      <c r="C75" s="454"/>
      <c r="D75" s="84"/>
      <c r="E75" s="85"/>
      <c r="F75" s="82">
        <f t="shared" si="22"/>
        <v>0</v>
      </c>
      <c r="G75" s="83"/>
      <c r="H75" s="84"/>
      <c r="I75" s="85"/>
      <c r="J75" s="82">
        <f t="shared" si="23"/>
        <v>0</v>
      </c>
      <c r="K75" s="83"/>
      <c r="L75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6" spans="1:12" s="7" customFormat="1" x14ac:dyDescent="0.35">
      <c r="A76" s="128" t="str">
        <f t="shared" si="24"/>
        <v>6.5</v>
      </c>
      <c r="B76" s="411" t="s">
        <v>39</v>
      </c>
      <c r="C76" s="412"/>
      <c r="D76" s="84"/>
      <c r="E76" s="85"/>
      <c r="F76" s="82">
        <f t="shared" si="22"/>
        <v>0</v>
      </c>
      <c r="G76" s="83"/>
      <c r="H76" s="84"/>
      <c r="I76" s="85"/>
      <c r="J76" s="82">
        <f t="shared" si="23"/>
        <v>0</v>
      </c>
      <c r="K76" s="83"/>
      <c r="L76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7" spans="1:12" s="7" customFormat="1" x14ac:dyDescent="0.35">
      <c r="A77" s="128" t="str">
        <f t="shared" si="24"/>
        <v>6.6</v>
      </c>
      <c r="B77" s="411"/>
      <c r="C77" s="412"/>
      <c r="D77" s="84"/>
      <c r="E77" s="85"/>
      <c r="F77" s="82">
        <f t="shared" si="22"/>
        <v>0</v>
      </c>
      <c r="G77" s="83"/>
      <c r="H77" s="84"/>
      <c r="I77" s="85"/>
      <c r="J77" s="82">
        <f t="shared" si="23"/>
        <v>0</v>
      </c>
      <c r="K77" s="83"/>
      <c r="L77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8" spans="1:12" s="7" customFormat="1" x14ac:dyDescent="0.35">
      <c r="A78" s="128" t="str">
        <f t="shared" si="24"/>
        <v>6.7</v>
      </c>
      <c r="B78" s="411"/>
      <c r="C78" s="412"/>
      <c r="D78" s="84"/>
      <c r="E78" s="85"/>
      <c r="F78" s="82">
        <f t="shared" si="22"/>
        <v>0</v>
      </c>
      <c r="G78" s="83"/>
      <c r="H78" s="84"/>
      <c r="I78" s="85"/>
      <c r="J78" s="82">
        <f t="shared" si="23"/>
        <v>0</v>
      </c>
      <c r="K78" s="83"/>
      <c r="L78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79" spans="1:12" s="7" customFormat="1" x14ac:dyDescent="0.35">
      <c r="A79" s="128" t="str">
        <f t="shared" si="24"/>
        <v>6.8</v>
      </c>
      <c r="B79" s="154"/>
      <c r="C79" s="155"/>
      <c r="D79" s="84"/>
      <c r="E79" s="85"/>
      <c r="F79" s="82">
        <f t="shared" si="22"/>
        <v>0</v>
      </c>
      <c r="G79" s="83"/>
      <c r="H79" s="84"/>
      <c r="I79" s="85"/>
      <c r="J79" s="82">
        <f t="shared" si="23"/>
        <v>0</v>
      </c>
      <c r="K79" s="83"/>
      <c r="L79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0" spans="1:12" s="7" customFormat="1" x14ac:dyDescent="0.35">
      <c r="A80" s="237" t="s">
        <v>62</v>
      </c>
      <c r="B80" s="460" t="s">
        <v>57</v>
      </c>
      <c r="C80" s="420"/>
      <c r="D80" s="241">
        <f t="shared" ref="D80:K80" si="25">SUM(D81:D86)</f>
        <v>5000</v>
      </c>
      <c r="E80" s="239">
        <f t="shared" si="25"/>
        <v>1050</v>
      </c>
      <c r="F80" s="239">
        <f t="shared" si="25"/>
        <v>6050</v>
      </c>
      <c r="G80" s="242">
        <f t="shared" si="25"/>
        <v>3950</v>
      </c>
      <c r="H80" s="241">
        <f t="shared" si="25"/>
        <v>5000</v>
      </c>
      <c r="I80" s="239">
        <f t="shared" si="25"/>
        <v>1050</v>
      </c>
      <c r="J80" s="239">
        <f t="shared" si="25"/>
        <v>6050</v>
      </c>
      <c r="K80" s="242">
        <f t="shared" si="25"/>
        <v>5000</v>
      </c>
      <c r="L80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1" spans="1:12" s="7" customFormat="1" x14ac:dyDescent="0.35">
      <c r="A81" s="128" t="str">
        <f>"7."&amp;(ROW()-ROW($A$80))</f>
        <v>7.1</v>
      </c>
      <c r="B81" s="421" t="s">
        <v>58</v>
      </c>
      <c r="C81" s="422"/>
      <c r="D81" s="81"/>
      <c r="E81" s="82"/>
      <c r="F81" s="82">
        <f t="shared" ref="F81:F86" si="26">SUM(D81:E81)</f>
        <v>0</v>
      </c>
      <c r="G81" s="83"/>
      <c r="H81" s="81"/>
      <c r="I81" s="82"/>
      <c r="J81" s="82">
        <f t="shared" ref="J81:J86" si="27">SUM(H81:I81)</f>
        <v>0</v>
      </c>
      <c r="K81" s="83"/>
      <c r="L81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2" spans="1:12" s="7" customFormat="1" x14ac:dyDescent="0.35">
      <c r="A82" s="128" t="str">
        <f t="shared" ref="A82:A86" si="28">"7."&amp;(ROW()-ROW($A$80))</f>
        <v>7.2</v>
      </c>
      <c r="B82" s="411" t="s">
        <v>59</v>
      </c>
      <c r="C82" s="412"/>
      <c r="D82" s="84">
        <v>5000</v>
      </c>
      <c r="E82" s="85">
        <v>1050</v>
      </c>
      <c r="F82" s="82">
        <f t="shared" si="26"/>
        <v>6050</v>
      </c>
      <c r="G82" s="83">
        <v>3950</v>
      </c>
      <c r="H82" s="84">
        <v>5000</v>
      </c>
      <c r="I82" s="85">
        <v>1050</v>
      </c>
      <c r="J82" s="82">
        <f t="shared" si="27"/>
        <v>6050</v>
      </c>
      <c r="K82" s="83">
        <v>5000</v>
      </c>
      <c r="L82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3" spans="1:12" s="7" customFormat="1" x14ac:dyDescent="0.35">
      <c r="A83" s="128" t="str">
        <f t="shared" si="28"/>
        <v>7.3</v>
      </c>
      <c r="B83" s="411" t="s">
        <v>60</v>
      </c>
      <c r="C83" s="412"/>
      <c r="D83" s="84"/>
      <c r="E83" s="85"/>
      <c r="F83" s="82">
        <f t="shared" si="26"/>
        <v>0</v>
      </c>
      <c r="G83" s="83"/>
      <c r="H83" s="84"/>
      <c r="I83" s="85"/>
      <c r="J83" s="82">
        <f t="shared" si="27"/>
        <v>0</v>
      </c>
      <c r="K83" s="83"/>
      <c r="L83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4" spans="1:12" s="7" customFormat="1" x14ac:dyDescent="0.35">
      <c r="A84" s="128" t="str">
        <f t="shared" si="28"/>
        <v>7.4</v>
      </c>
      <c r="B84" s="411" t="s">
        <v>61</v>
      </c>
      <c r="C84" s="412"/>
      <c r="D84" s="84"/>
      <c r="E84" s="85"/>
      <c r="F84" s="82">
        <f t="shared" si="26"/>
        <v>0</v>
      </c>
      <c r="G84" s="83"/>
      <c r="H84" s="84"/>
      <c r="I84" s="85"/>
      <c r="J84" s="82">
        <f t="shared" si="27"/>
        <v>0</v>
      </c>
      <c r="K84" s="83"/>
      <c r="L84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5" spans="1:12" s="7" customFormat="1" ht="15" customHeight="1" x14ac:dyDescent="0.35">
      <c r="A85" s="128" t="str">
        <f t="shared" si="28"/>
        <v>7.5</v>
      </c>
      <c r="B85" s="411" t="s">
        <v>39</v>
      </c>
      <c r="C85" s="412"/>
      <c r="D85" s="84"/>
      <c r="E85" s="85"/>
      <c r="F85" s="82">
        <f t="shared" si="26"/>
        <v>0</v>
      </c>
      <c r="G85" s="83"/>
      <c r="H85" s="84"/>
      <c r="I85" s="85"/>
      <c r="J85" s="82">
        <f t="shared" si="27"/>
        <v>0</v>
      </c>
      <c r="K85" s="83"/>
      <c r="L85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6" spans="1:12" s="7" customFormat="1" x14ac:dyDescent="0.35">
      <c r="A86" s="128" t="str">
        <f t="shared" si="28"/>
        <v>7.6</v>
      </c>
      <c r="B86" s="411"/>
      <c r="C86" s="412"/>
      <c r="D86" s="99"/>
      <c r="E86" s="100"/>
      <c r="F86" s="82">
        <f t="shared" si="26"/>
        <v>0</v>
      </c>
      <c r="G86" s="83"/>
      <c r="H86" s="84"/>
      <c r="I86" s="85"/>
      <c r="J86" s="82">
        <f t="shared" si="27"/>
        <v>0</v>
      </c>
      <c r="K86" s="83"/>
      <c r="L86" s="136" t="str">
        <f>_xlfn.IFS(Naklady[[#This Row],[Z toho čerpáno z dotace 2022]]&gt;Naklady[[#This Row],[Celkem 2022]],"Chyba - částka hrazená z dotace je vyšší než částka celkem.",Naklady[[#This Row],[Z toho čerpáno z dotace 2022]]&gt;Naklady[[#This Row],[Celkem 2022]]-Naklady[[#This Row],[DPH 2022]],"DPH je neuznatelným nákladem, který nelze hradit z dotace.",Naklady[[#This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dotace.",TRUE," ")</f>
        <v xml:space="preserve"> </v>
      </c>
    </row>
    <row r="87" spans="1:12" s="7" customFormat="1" x14ac:dyDescent="0.35">
      <c r="A87" s="243" t="s">
        <v>65</v>
      </c>
      <c r="B87" s="423" t="s">
        <v>160</v>
      </c>
      <c r="C87" s="424"/>
      <c r="D87" s="244">
        <f>SUM(D88:D93)</f>
        <v>53520</v>
      </c>
      <c r="E87" s="245"/>
      <c r="F87" s="246">
        <f>SUM(F88:F93)</f>
        <v>53520</v>
      </c>
      <c r="G87" s="247">
        <f>SUM(G88:G93)</f>
        <v>53520</v>
      </c>
      <c r="H87" s="244">
        <f>SUM(H88:H93)</f>
        <v>80280</v>
      </c>
      <c r="I87" s="245"/>
      <c r="J87" s="246">
        <f>SUM(J88:J93)</f>
        <v>80280</v>
      </c>
      <c r="K87" s="247">
        <f>SUM(K88:K93)</f>
        <v>70000</v>
      </c>
      <c r="L87" s="167"/>
    </row>
    <row r="88" spans="1:12" s="7" customFormat="1" ht="14.5" x14ac:dyDescent="0.35">
      <c r="A88" s="128" t="str">
        <f>"8."&amp;(ROW()-ROW($A$87))</f>
        <v>8.1</v>
      </c>
      <c r="B88" s="417" t="s">
        <v>216</v>
      </c>
      <c r="C88" s="418"/>
      <c r="D88" s="87">
        <v>53520</v>
      </c>
      <c r="E88" s="88"/>
      <c r="F88" s="89">
        <f>D88</f>
        <v>53520</v>
      </c>
      <c r="G88" s="90">
        <v>53520</v>
      </c>
      <c r="H88" s="87">
        <v>80280</v>
      </c>
      <c r="I88" s="88"/>
      <c r="J88" s="89">
        <f>H88</f>
        <v>80280</v>
      </c>
      <c r="K88" s="90">
        <v>70000</v>
      </c>
      <c r="L88" s="139"/>
    </row>
    <row r="89" spans="1:12" s="7" customFormat="1" ht="14.5" x14ac:dyDescent="0.35">
      <c r="A89" s="128" t="str">
        <f t="shared" ref="A89:A93" si="29">"8."&amp;(ROW()-ROW($A$87))</f>
        <v>8.2</v>
      </c>
      <c r="B89" s="425"/>
      <c r="C89" s="426"/>
      <c r="D89" s="91"/>
      <c r="E89" s="92"/>
      <c r="F89" s="93">
        <f>D89</f>
        <v>0</v>
      </c>
      <c r="G89" s="90"/>
      <c r="H89" s="91"/>
      <c r="I89" s="92"/>
      <c r="J89" s="93">
        <f>H89</f>
        <v>0</v>
      </c>
      <c r="K89" s="90"/>
      <c r="L89" s="139"/>
    </row>
    <row r="90" spans="1:12" s="7" customFormat="1" ht="14.5" x14ac:dyDescent="0.35">
      <c r="A90" s="128" t="str">
        <f t="shared" si="29"/>
        <v>8.3</v>
      </c>
      <c r="B90" s="425"/>
      <c r="C90" s="426"/>
      <c r="D90" s="91"/>
      <c r="E90" s="92"/>
      <c r="F90" s="93">
        <f t="shared" ref="F90:F93" si="30">D90</f>
        <v>0</v>
      </c>
      <c r="G90" s="90"/>
      <c r="H90" s="91"/>
      <c r="I90" s="92"/>
      <c r="J90" s="93">
        <f t="shared" ref="J90:J93" si="31">H90</f>
        <v>0</v>
      </c>
      <c r="K90" s="90"/>
      <c r="L90" s="139"/>
    </row>
    <row r="91" spans="1:12" s="7" customFormat="1" ht="14.5" x14ac:dyDescent="0.35">
      <c r="A91" s="128" t="str">
        <f t="shared" si="29"/>
        <v>8.4</v>
      </c>
      <c r="B91" s="425"/>
      <c r="C91" s="426"/>
      <c r="D91" s="91"/>
      <c r="E91" s="94"/>
      <c r="F91" s="93">
        <f t="shared" si="30"/>
        <v>0</v>
      </c>
      <c r="G91" s="90"/>
      <c r="H91" s="91"/>
      <c r="I91" s="94"/>
      <c r="J91" s="93">
        <f t="shared" si="31"/>
        <v>0</v>
      </c>
      <c r="K91" s="90"/>
      <c r="L91" s="139"/>
    </row>
    <row r="92" spans="1:12" s="7" customFormat="1" ht="14.5" x14ac:dyDescent="0.35">
      <c r="A92" s="128" t="str">
        <f t="shared" si="29"/>
        <v>8.5</v>
      </c>
      <c r="B92" s="425"/>
      <c r="C92" s="426"/>
      <c r="D92" s="91"/>
      <c r="E92" s="92"/>
      <c r="F92" s="93">
        <f t="shared" si="30"/>
        <v>0</v>
      </c>
      <c r="G92" s="90"/>
      <c r="H92" s="91"/>
      <c r="I92" s="92"/>
      <c r="J92" s="93">
        <f t="shared" si="31"/>
        <v>0</v>
      </c>
      <c r="K92" s="90"/>
      <c r="L92" s="139"/>
    </row>
    <row r="93" spans="1:12" s="7" customFormat="1" ht="14.5" x14ac:dyDescent="0.35">
      <c r="A93" s="128" t="str">
        <f t="shared" si="29"/>
        <v>8.6</v>
      </c>
      <c r="B93" s="425"/>
      <c r="C93" s="426"/>
      <c r="D93" s="91"/>
      <c r="E93" s="93"/>
      <c r="F93" s="93">
        <f t="shared" si="30"/>
        <v>0</v>
      </c>
      <c r="G93" s="90"/>
      <c r="H93" s="91"/>
      <c r="I93" s="93"/>
      <c r="J93" s="93">
        <f t="shared" si="31"/>
        <v>0</v>
      </c>
      <c r="K93" s="90"/>
      <c r="L93" s="139"/>
    </row>
    <row r="94" spans="1:12" s="7" customFormat="1" ht="14.5" x14ac:dyDescent="0.35">
      <c r="A94" s="248" t="s">
        <v>179</v>
      </c>
      <c r="B94" s="419" t="s">
        <v>66</v>
      </c>
      <c r="C94" s="420"/>
      <c r="D94" s="241">
        <f>SUM(D95:D101)</f>
        <v>11000</v>
      </c>
      <c r="E94" s="239">
        <f>SUM(E95:E101)</f>
        <v>2310</v>
      </c>
      <c r="F94" s="239">
        <f>SUM(F95:F101)</f>
        <v>13310</v>
      </c>
      <c r="G94" s="239"/>
      <c r="H94" s="241">
        <f>SUM(H95:H101)</f>
        <v>16400</v>
      </c>
      <c r="I94" s="239">
        <f>SUM(I95:I101)</f>
        <v>3444</v>
      </c>
      <c r="J94" s="239">
        <f>SUM(J95:J101)</f>
        <v>19844</v>
      </c>
      <c r="K94" s="239"/>
      <c r="L94" s="140"/>
    </row>
    <row r="95" spans="1:12" s="7" customFormat="1" ht="14.5" x14ac:dyDescent="0.35">
      <c r="A95" s="128" t="str">
        <f>"9."&amp;(ROW()-ROW($A$94))</f>
        <v>9.1</v>
      </c>
      <c r="B95" s="421" t="s">
        <v>67</v>
      </c>
      <c r="C95" s="422"/>
      <c r="D95" s="81">
        <v>3000</v>
      </c>
      <c r="E95" s="82">
        <v>630</v>
      </c>
      <c r="F95" s="82">
        <f t="shared" ref="F95:F101" si="32">SUM(D95:E95)</f>
        <v>3630</v>
      </c>
      <c r="G95" s="95"/>
      <c r="H95" s="81">
        <v>4400</v>
      </c>
      <c r="I95" s="82">
        <v>924</v>
      </c>
      <c r="J95" s="82">
        <f t="shared" ref="J95:J101" si="33">SUM(H95:I95)</f>
        <v>5324</v>
      </c>
      <c r="K95" s="95"/>
      <c r="L95" s="140"/>
    </row>
    <row r="96" spans="1:12" s="7" customFormat="1" ht="14.5" x14ac:dyDescent="0.35">
      <c r="A96" s="128" t="str">
        <f t="shared" ref="A96:A101" si="34">"9."&amp;(ROW()-ROW($A$94))</f>
        <v>9.2</v>
      </c>
      <c r="B96" s="411" t="s">
        <v>68</v>
      </c>
      <c r="C96" s="412"/>
      <c r="D96" s="84"/>
      <c r="E96" s="85"/>
      <c r="F96" s="82">
        <f t="shared" si="32"/>
        <v>0</v>
      </c>
      <c r="G96" s="96"/>
      <c r="H96" s="84"/>
      <c r="I96" s="85"/>
      <c r="J96" s="82">
        <f t="shared" si="33"/>
        <v>0</v>
      </c>
      <c r="K96" s="96"/>
      <c r="L96" s="141"/>
    </row>
    <row r="97" spans="1:12" s="7" customFormat="1" ht="14.5" x14ac:dyDescent="0.35">
      <c r="A97" s="128" t="str">
        <f t="shared" si="34"/>
        <v>9.3</v>
      </c>
      <c r="B97" s="411" t="s">
        <v>69</v>
      </c>
      <c r="C97" s="412"/>
      <c r="D97" s="84"/>
      <c r="E97" s="85"/>
      <c r="F97" s="82">
        <f t="shared" si="32"/>
        <v>0</v>
      </c>
      <c r="G97" s="96"/>
      <c r="H97" s="84"/>
      <c r="I97" s="85"/>
      <c r="J97" s="82">
        <f t="shared" si="33"/>
        <v>0</v>
      </c>
      <c r="K97" s="96"/>
      <c r="L97" s="141"/>
    </row>
    <row r="98" spans="1:12" s="7" customFormat="1" ht="14.5" x14ac:dyDescent="0.35">
      <c r="A98" s="128" t="str">
        <f t="shared" si="34"/>
        <v>9.4</v>
      </c>
      <c r="B98" s="411" t="s">
        <v>70</v>
      </c>
      <c r="C98" s="412"/>
      <c r="D98" s="84"/>
      <c r="E98" s="85"/>
      <c r="F98" s="82">
        <f t="shared" si="32"/>
        <v>0</v>
      </c>
      <c r="G98" s="95"/>
      <c r="H98" s="84"/>
      <c r="I98" s="85"/>
      <c r="J98" s="82">
        <f t="shared" si="33"/>
        <v>0</v>
      </c>
      <c r="K98" s="95"/>
      <c r="L98" s="140"/>
    </row>
    <row r="99" spans="1:12" s="7" customFormat="1" ht="14.5" x14ac:dyDescent="0.35">
      <c r="A99" s="128" t="str">
        <f t="shared" si="34"/>
        <v>9.5</v>
      </c>
      <c r="B99" s="411" t="s">
        <v>71</v>
      </c>
      <c r="C99" s="412"/>
      <c r="D99" s="97"/>
      <c r="E99" s="98"/>
      <c r="F99" s="82">
        <f t="shared" si="32"/>
        <v>0</v>
      </c>
      <c r="G99" s="96"/>
      <c r="H99" s="97"/>
      <c r="I99" s="98"/>
      <c r="J99" s="82">
        <f t="shared" si="33"/>
        <v>0</v>
      </c>
      <c r="K99" s="96"/>
      <c r="L99" s="141"/>
    </row>
    <row r="100" spans="1:12" s="7" customFormat="1" ht="14.5" x14ac:dyDescent="0.35">
      <c r="A100" s="128" t="str">
        <f t="shared" si="34"/>
        <v>9.6</v>
      </c>
      <c r="B100" s="154" t="s">
        <v>190</v>
      </c>
      <c r="C100" s="155"/>
      <c r="D100" s="97">
        <v>8000</v>
      </c>
      <c r="E100" s="98">
        <v>1680</v>
      </c>
      <c r="F100" s="82">
        <f t="shared" si="32"/>
        <v>9680</v>
      </c>
      <c r="G100" s="96"/>
      <c r="H100" s="97">
        <v>12000</v>
      </c>
      <c r="I100" s="98">
        <v>2520</v>
      </c>
      <c r="J100" s="82">
        <f t="shared" si="33"/>
        <v>14520</v>
      </c>
      <c r="K100" s="96"/>
      <c r="L100" s="141"/>
    </row>
    <row r="101" spans="1:12" s="7" customFormat="1" ht="14.5" x14ac:dyDescent="0.35">
      <c r="A101" s="128" t="str">
        <f t="shared" si="34"/>
        <v>9.7</v>
      </c>
      <c r="B101" s="413" t="s">
        <v>72</v>
      </c>
      <c r="C101" s="414"/>
      <c r="D101" s="99"/>
      <c r="E101" s="100"/>
      <c r="F101" s="100">
        <f t="shared" si="32"/>
        <v>0</v>
      </c>
      <c r="G101" s="101"/>
      <c r="H101" s="99"/>
      <c r="I101" s="100"/>
      <c r="J101" s="100">
        <f t="shared" si="33"/>
        <v>0</v>
      </c>
      <c r="K101" s="101"/>
      <c r="L101" s="141"/>
    </row>
    <row r="102" spans="1:12" s="1" customFormat="1" ht="14.5" x14ac:dyDescent="0.35">
      <c r="L102" s="168"/>
    </row>
    <row r="103" spans="1:12" x14ac:dyDescent="0.35">
      <c r="B103" s="169" t="s">
        <v>75</v>
      </c>
      <c r="C103" s="170"/>
      <c r="D103" s="171"/>
      <c r="E103" s="171"/>
      <c r="F103" s="171"/>
      <c r="G103" s="171"/>
      <c r="H103" s="171"/>
      <c r="I103" s="171"/>
      <c r="J103" s="171"/>
    </row>
    <row r="104" spans="1:12" ht="14.25" customHeight="1" x14ac:dyDescent="0.35">
      <c r="B104" s="415" t="s">
        <v>15</v>
      </c>
      <c r="C104" s="416"/>
      <c r="D104" s="416"/>
      <c r="E104" s="416"/>
      <c r="F104" s="416"/>
      <c r="G104" s="416"/>
      <c r="H104" s="416"/>
      <c r="I104" s="416"/>
      <c r="J104" s="416"/>
      <c r="K104" s="416"/>
      <c r="L104" s="172"/>
    </row>
    <row r="105" spans="1:12" ht="39.75" customHeight="1" x14ac:dyDescent="0.35">
      <c r="B105" s="415" t="s">
        <v>16</v>
      </c>
      <c r="C105" s="415"/>
      <c r="D105" s="415"/>
      <c r="E105" s="415"/>
      <c r="F105" s="415"/>
      <c r="G105" s="415"/>
      <c r="H105" s="415"/>
      <c r="I105" s="415"/>
      <c r="J105" s="415"/>
      <c r="K105" s="415"/>
      <c r="L105" s="172"/>
    </row>
    <row r="106" spans="1:12" ht="30.65" customHeight="1" x14ac:dyDescent="0.35">
      <c r="B106" s="410" t="s">
        <v>76</v>
      </c>
      <c r="C106" s="410"/>
      <c r="D106" s="410"/>
      <c r="E106" s="410"/>
      <c r="F106" s="410"/>
      <c r="G106" s="410"/>
      <c r="H106" s="410"/>
      <c r="I106" s="410"/>
      <c r="J106" s="410"/>
      <c r="K106" s="410"/>
      <c r="L106" s="173"/>
    </row>
    <row r="107" spans="1:12" ht="27.65" customHeight="1" x14ac:dyDescent="0.35">
      <c r="B107" s="410" t="s">
        <v>77</v>
      </c>
      <c r="C107" s="410"/>
      <c r="D107" s="410"/>
      <c r="E107" s="410"/>
      <c r="F107" s="410"/>
      <c r="G107" s="410"/>
      <c r="H107" s="410"/>
      <c r="I107" s="410"/>
      <c r="J107" s="410"/>
      <c r="K107" s="410"/>
      <c r="L107" s="173"/>
    </row>
    <row r="108" spans="1:12" ht="89.5" customHeight="1" x14ac:dyDescent="0.35">
      <c r="A108" s="26"/>
      <c r="B108" s="410" t="s">
        <v>191</v>
      </c>
      <c r="C108" s="410"/>
      <c r="D108" s="410"/>
      <c r="E108" s="410"/>
      <c r="F108" s="410"/>
      <c r="G108" s="410"/>
      <c r="H108" s="410"/>
      <c r="I108" s="410"/>
      <c r="J108" s="410"/>
      <c r="K108" s="410"/>
      <c r="L108" s="173"/>
    </row>
    <row r="109" spans="1:12" ht="62.15" customHeight="1" x14ac:dyDescent="0.35">
      <c r="A109" s="26"/>
      <c r="B109" s="410" t="s">
        <v>135</v>
      </c>
      <c r="C109" s="410"/>
      <c r="D109" s="410"/>
      <c r="E109" s="410"/>
      <c r="F109" s="410"/>
      <c r="G109" s="410"/>
      <c r="H109" s="410"/>
      <c r="I109" s="410"/>
      <c r="J109" s="410"/>
      <c r="K109" s="410"/>
      <c r="L109" s="173"/>
    </row>
    <row r="110" spans="1:12" x14ac:dyDescent="0.35">
      <c r="B110" s="459"/>
      <c r="C110" s="459"/>
      <c r="D110" s="459"/>
      <c r="E110" s="459"/>
      <c r="F110" s="459"/>
      <c r="G110" s="459"/>
      <c r="H110" s="459"/>
      <c r="I110" s="459"/>
      <c r="J110" s="459"/>
      <c r="K110" s="459"/>
      <c r="L110" s="142"/>
    </row>
  </sheetData>
  <sheetProtection formatCells="0" formatColumns="0" formatRows="0" insertRows="0" insertHyperlinks="0" deleteColumns="0" deleteRows="0"/>
  <mergeCells count="127">
    <mergeCell ref="B110:K110"/>
    <mergeCell ref="B93:C93"/>
    <mergeCell ref="B89:C89"/>
    <mergeCell ref="B85:C85"/>
    <mergeCell ref="B86:C86"/>
    <mergeCell ref="B77:C77"/>
    <mergeCell ref="B78:C78"/>
    <mergeCell ref="B80:C80"/>
    <mergeCell ref="B81:C81"/>
    <mergeCell ref="B82:C82"/>
    <mergeCell ref="B83:C83"/>
    <mergeCell ref="B84:C84"/>
    <mergeCell ref="B91:C91"/>
    <mergeCell ref="B92:C92"/>
    <mergeCell ref="D22:G22"/>
    <mergeCell ref="H22:K22"/>
    <mergeCell ref="J7:K7"/>
    <mergeCell ref="H7:I7"/>
    <mergeCell ref="D7:E7"/>
    <mergeCell ref="F7:G7"/>
    <mergeCell ref="D8:E9"/>
    <mergeCell ref="B75:C75"/>
    <mergeCell ref="B65:C65"/>
    <mergeCell ref="B56:C56"/>
    <mergeCell ref="B57:C57"/>
    <mergeCell ref="B58:C58"/>
    <mergeCell ref="B68:C68"/>
    <mergeCell ref="B69:C69"/>
    <mergeCell ref="B72:C72"/>
    <mergeCell ref="B73:C73"/>
    <mergeCell ref="B74:C74"/>
    <mergeCell ref="B66:C66"/>
    <mergeCell ref="B52:C52"/>
    <mergeCell ref="B42:C42"/>
    <mergeCell ref="B43:C43"/>
    <mergeCell ref="B44:C44"/>
    <mergeCell ref="C8:C9"/>
    <mergeCell ref="C10:C11"/>
    <mergeCell ref="B70:C70"/>
    <mergeCell ref="B71:C71"/>
    <mergeCell ref="C14:C15"/>
    <mergeCell ref="B76:C76"/>
    <mergeCell ref="B47:C47"/>
    <mergeCell ref="B48:C48"/>
    <mergeCell ref="B49:C49"/>
    <mergeCell ref="B50:C50"/>
    <mergeCell ref="B51:C51"/>
    <mergeCell ref="B59:C59"/>
    <mergeCell ref="B60:C60"/>
    <mergeCell ref="B24:C24"/>
    <mergeCell ref="B25:C25"/>
    <mergeCell ref="B26:C26"/>
    <mergeCell ref="B27:C27"/>
    <mergeCell ref="B28:C28"/>
    <mergeCell ref="B41:C41"/>
    <mergeCell ref="B30:C30"/>
    <mergeCell ref="B33:C33"/>
    <mergeCell ref="B34:C34"/>
    <mergeCell ref="B35:C35"/>
    <mergeCell ref="B36:C36"/>
    <mergeCell ref="B37:C37"/>
    <mergeCell ref="B38:C38"/>
    <mergeCell ref="B1:D1"/>
    <mergeCell ref="B109:K109"/>
    <mergeCell ref="B98:C98"/>
    <mergeCell ref="B99:C99"/>
    <mergeCell ref="B101:C101"/>
    <mergeCell ref="B104:K104"/>
    <mergeCell ref="B105:K105"/>
    <mergeCell ref="B106:K106"/>
    <mergeCell ref="B107:K107"/>
    <mergeCell ref="B108:K108"/>
    <mergeCell ref="B97:C97"/>
    <mergeCell ref="B88:C88"/>
    <mergeCell ref="B94:C94"/>
    <mergeCell ref="B95:C95"/>
    <mergeCell ref="B96:C96"/>
    <mergeCell ref="B87:C87"/>
    <mergeCell ref="B90:C90"/>
    <mergeCell ref="B61:C61"/>
    <mergeCell ref="B62:C62"/>
    <mergeCell ref="B63:C63"/>
    <mergeCell ref="B64:C64"/>
    <mergeCell ref="B67:C67"/>
    <mergeCell ref="B29:C29"/>
    <mergeCell ref="A23:C23"/>
    <mergeCell ref="B39:C39"/>
    <mergeCell ref="B40:C40"/>
    <mergeCell ref="B45:C45"/>
    <mergeCell ref="B46:C46"/>
    <mergeCell ref="D3:G3"/>
    <mergeCell ref="H3:K3"/>
    <mergeCell ref="D4:E4"/>
    <mergeCell ref="D5:E5"/>
    <mergeCell ref="F5:G5"/>
    <mergeCell ref="F4:G4"/>
    <mergeCell ref="H4:I4"/>
    <mergeCell ref="J4:K4"/>
    <mergeCell ref="H5:I5"/>
    <mergeCell ref="J5:K5"/>
    <mergeCell ref="D10:E11"/>
    <mergeCell ref="D12:E13"/>
    <mergeCell ref="D14:E15"/>
    <mergeCell ref="F8:G9"/>
    <mergeCell ref="F10:G11"/>
    <mergeCell ref="F12:G13"/>
    <mergeCell ref="F14:G15"/>
    <mergeCell ref="H8:I9"/>
    <mergeCell ref="J8:K9"/>
    <mergeCell ref="B19:C19"/>
    <mergeCell ref="D19:G19"/>
    <mergeCell ref="H19:K19"/>
    <mergeCell ref="B20:C20"/>
    <mergeCell ref="D20:G20"/>
    <mergeCell ref="H20:K20"/>
    <mergeCell ref="H10:I11"/>
    <mergeCell ref="J10:K11"/>
    <mergeCell ref="H12:I13"/>
    <mergeCell ref="J12:K13"/>
    <mergeCell ref="H14:I15"/>
    <mergeCell ref="J14:K15"/>
    <mergeCell ref="D17:G17"/>
    <mergeCell ref="H17:K17"/>
    <mergeCell ref="B18:C18"/>
    <mergeCell ref="D18:G18"/>
    <mergeCell ref="H18:K18"/>
    <mergeCell ref="C12:C13"/>
  </mergeCells>
  <conditionalFormatting sqref="F5">
    <cfRule type="cellIs" dxfId="109" priority="32" operator="greaterThan">
      <formula>$D$5</formula>
    </cfRule>
  </conditionalFormatting>
  <conditionalFormatting sqref="J5">
    <cfRule type="cellIs" dxfId="108" priority="28" operator="greaterThan">
      <formula>$H$5</formula>
    </cfRule>
  </conditionalFormatting>
  <conditionalFormatting sqref="F8">
    <cfRule type="cellIs" dxfId="107" priority="26" operator="greaterThan">
      <formula>$D$8</formula>
    </cfRule>
  </conditionalFormatting>
  <conditionalFormatting sqref="F10">
    <cfRule type="cellIs" dxfId="106" priority="24" operator="greaterThan">
      <formula>$C$10</formula>
    </cfRule>
  </conditionalFormatting>
  <conditionalFormatting sqref="F12">
    <cfRule type="cellIs" dxfId="105" priority="22" operator="greaterThan">
      <formula>$C$12</formula>
    </cfRule>
  </conditionalFormatting>
  <conditionalFormatting sqref="F14">
    <cfRule type="cellIs" dxfId="104" priority="20" operator="greaterThan">
      <formula>$C$14</formula>
    </cfRule>
  </conditionalFormatting>
  <conditionalFormatting sqref="J8">
    <cfRule type="cellIs" dxfId="103" priority="12" operator="greaterThan">
      <formula>$H$8</formula>
    </cfRule>
  </conditionalFormatting>
  <conditionalFormatting sqref="J10">
    <cfRule type="cellIs" dxfId="102" priority="10" operator="greaterThan">
      <formula>$H$10</formula>
    </cfRule>
  </conditionalFormatting>
  <conditionalFormatting sqref="J12">
    <cfRule type="cellIs" dxfId="101" priority="8" operator="greaterThan">
      <formula>$H$12</formula>
    </cfRule>
  </conditionalFormatting>
  <conditionalFormatting sqref="J14">
    <cfRule type="cellIs" dxfId="100" priority="6" operator="greaterThan">
      <formula>$H$14</formula>
    </cfRule>
  </conditionalFormatting>
  <conditionalFormatting sqref="D5:E5 D8:E15 H8:I15 H5:I5">
    <cfRule type="containsText" dxfId="89" priority="3" operator="containsText" text="Vyplňte list 1. Souhrn!">
      <formula>NOT(ISERROR(SEARCH("Vyplňte list 1. Souhrn!",D5)))</formula>
    </cfRule>
  </conditionalFormatting>
  <conditionalFormatting sqref="K24:K86">
    <cfRule type="expression" dxfId="99" priority="2">
      <formula>$K24:$K86&gt;$J24:$J86-$I24:$I86</formula>
    </cfRule>
  </conditionalFormatting>
  <conditionalFormatting sqref="G24:G86">
    <cfRule type="expression" dxfId="98" priority="1">
      <formula>$G24:$G93&gt;$F24:$F86-$E24:$E86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&amp;CNáklady</oddHeader>
    <oddFooter>&amp;C&amp;P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notEqual" id="{DFC98551-BE8D-4736-A61A-34F5954D19A0}">
            <xm:f>'4. Seznam dokladů'!$H$7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cellIs" priority="23" operator="notEqual" id="{946C1127-9F2F-460D-A52F-07979E27685D}">
            <xm:f>'4. Seznam dokladů'!$H$9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ellIs" priority="21" operator="notEqual" id="{9DE66D2D-EA99-4572-8C91-252D92D5098F}">
            <xm:f>'4. Seznam dokladů'!$H$11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ellIs" priority="19" operator="notEqual" id="{128E554E-2AAE-42D4-9D9E-1C43FA95DB27}">
            <xm:f>'4. Seznam dokladů'!$H$13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ellIs" priority="11" operator="notEqual" id="{74B69564-2505-497E-82F1-FBD72BA96B4B}">
            <xm:f>'4. Seznam dokladů'!$H$20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cellIs" priority="9" operator="notEqual" id="{00AF7C09-EAEB-40F1-99F4-38F3E6C37296}">
            <xm:f>'4. Seznam dokladů'!$H$22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ellIs" priority="7" operator="notEqual" id="{0108BE60-A737-4C46-AB9E-8E3E0BF53FCC}">
            <xm:f>'4. Seznam dokladů'!$H$24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5" operator="notEqual" id="{13694F3A-A776-4C10-A81E-6DAAD4550C7A}">
            <xm:f>'4. Seznam dokladů'!$H$26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BD33-AF48-45AD-845B-C8A086766B8B}">
  <sheetPr>
    <pageSetUpPr fitToPage="1"/>
  </sheetPr>
  <dimension ref="A1:K32"/>
  <sheetViews>
    <sheetView showGridLines="0" zoomScale="60" zoomScaleNormal="60" workbookViewId="0">
      <selection activeCell="H7" sqref="H7"/>
    </sheetView>
  </sheetViews>
  <sheetFormatPr defaultColWidth="9.1796875" defaultRowHeight="14" x14ac:dyDescent="0.35"/>
  <cols>
    <col min="1" max="1" width="4.81640625" style="8" customWidth="1"/>
    <col min="2" max="2" width="27.54296875" style="12" customWidth="1"/>
    <col min="3" max="3" width="33.54296875" style="13" customWidth="1"/>
    <col min="4" max="4" width="17.1796875" style="14" customWidth="1"/>
    <col min="5" max="5" width="13.453125" style="14" customWidth="1"/>
    <col min="6" max="9" width="18" style="14" customWidth="1"/>
    <col min="10" max="10" width="34.7265625" style="47" customWidth="1"/>
    <col min="11" max="16384" width="9.1796875" style="4"/>
  </cols>
  <sheetData>
    <row r="1" spans="1:11" ht="18" customHeight="1" x14ac:dyDescent="0.35">
      <c r="A1" s="474"/>
      <c r="B1" s="474"/>
      <c r="C1" s="28"/>
      <c r="D1" s="461" t="s">
        <v>79</v>
      </c>
      <c r="E1" s="461"/>
      <c r="F1" s="461"/>
      <c r="G1" s="58"/>
      <c r="H1" s="58"/>
      <c r="I1" s="58"/>
    </row>
    <row r="2" spans="1:11" ht="18" customHeight="1" x14ac:dyDescent="0.35">
      <c r="A2" s="479" t="s">
        <v>78</v>
      </c>
      <c r="B2" s="480"/>
      <c r="C2" s="481"/>
      <c r="D2" s="442">
        <v>2022</v>
      </c>
      <c r="E2" s="443"/>
      <c r="F2" s="485"/>
      <c r="G2" s="445">
        <v>2023</v>
      </c>
      <c r="H2" s="446"/>
      <c r="I2" s="486"/>
      <c r="J2" s="110"/>
    </row>
    <row r="3" spans="1:11" s="5" customFormat="1" ht="14.25" customHeight="1" x14ac:dyDescent="0.35">
      <c r="A3" s="482"/>
      <c r="B3" s="483"/>
      <c r="C3" s="484"/>
      <c r="D3" s="102" t="s">
        <v>19</v>
      </c>
      <c r="E3" s="103" t="s">
        <v>10</v>
      </c>
      <c r="F3" s="253" t="s">
        <v>20</v>
      </c>
      <c r="G3" s="105" t="s">
        <v>19</v>
      </c>
      <c r="H3" s="259" t="s">
        <v>10</v>
      </c>
      <c r="I3" s="260" t="s">
        <v>20</v>
      </c>
      <c r="J3" s="111" t="s">
        <v>21</v>
      </c>
    </row>
    <row r="4" spans="1:11" x14ac:dyDescent="0.35">
      <c r="A4" s="114" t="s">
        <v>22</v>
      </c>
      <c r="B4" s="462" t="s">
        <v>80</v>
      </c>
      <c r="C4" s="462"/>
      <c r="D4" s="254">
        <f t="shared" ref="D4:I4" si="0">SUM(D5:D7,D10:D14)</f>
        <v>22500</v>
      </c>
      <c r="E4" s="255">
        <f t="shared" si="0"/>
        <v>0</v>
      </c>
      <c r="F4" s="256">
        <f t="shared" si="0"/>
        <v>22500</v>
      </c>
      <c r="G4" s="261">
        <f t="shared" si="0"/>
        <v>33000</v>
      </c>
      <c r="H4" s="262">
        <f t="shared" si="0"/>
        <v>0</v>
      </c>
      <c r="I4" s="263">
        <f t="shared" si="0"/>
        <v>33000</v>
      </c>
      <c r="J4" s="112"/>
    </row>
    <row r="5" spans="1:11" ht="15" customHeight="1" x14ac:dyDescent="0.35">
      <c r="A5" s="115" t="s">
        <v>81</v>
      </c>
      <c r="B5" s="463" t="s">
        <v>82</v>
      </c>
      <c r="C5" s="464"/>
      <c r="D5" s="218"/>
      <c r="E5" s="219"/>
      <c r="F5" s="220">
        <f>SUM(D5:E5)</f>
        <v>0</v>
      </c>
      <c r="G5" s="218"/>
      <c r="H5" s="219"/>
      <c r="I5" s="220">
        <f>SUM(G5:H5)</f>
        <v>0</v>
      </c>
      <c r="J5" s="221"/>
    </row>
    <row r="6" spans="1:11" ht="27.65" customHeight="1" x14ac:dyDescent="0.35">
      <c r="A6" s="116" t="s">
        <v>83</v>
      </c>
      <c r="B6" s="465" t="s">
        <v>84</v>
      </c>
      <c r="C6" s="466"/>
      <c r="D6" s="222">
        <v>22500</v>
      </c>
      <c r="E6" s="223">
        <v>0</v>
      </c>
      <c r="F6" s="224">
        <f>SUM(D6:E6)</f>
        <v>22500</v>
      </c>
      <c r="G6" s="222">
        <v>33000</v>
      </c>
      <c r="H6" s="223">
        <v>0</v>
      </c>
      <c r="I6" s="224">
        <f>SUM(G6:H6)</f>
        <v>33000</v>
      </c>
      <c r="J6" s="225" t="s">
        <v>217</v>
      </c>
    </row>
    <row r="7" spans="1:11" x14ac:dyDescent="0.35">
      <c r="A7" s="116" t="s">
        <v>85</v>
      </c>
      <c r="B7" s="465" t="s">
        <v>86</v>
      </c>
      <c r="C7" s="466"/>
      <c r="D7" s="222">
        <f t="shared" ref="D7:I7" si="1">SUM(D8:D9)</f>
        <v>0</v>
      </c>
      <c r="E7" s="226">
        <f t="shared" si="1"/>
        <v>0</v>
      </c>
      <c r="F7" s="224">
        <f t="shared" si="1"/>
        <v>0</v>
      </c>
      <c r="G7" s="222">
        <f t="shared" si="1"/>
        <v>0</v>
      </c>
      <c r="H7" s="226">
        <f t="shared" si="1"/>
        <v>0</v>
      </c>
      <c r="I7" s="224">
        <f t="shared" si="1"/>
        <v>0</v>
      </c>
      <c r="J7" s="225"/>
    </row>
    <row r="8" spans="1:11" x14ac:dyDescent="0.35">
      <c r="A8" s="116" t="s">
        <v>87</v>
      </c>
      <c r="B8" s="488" t="s">
        <v>88</v>
      </c>
      <c r="C8" s="489"/>
      <c r="D8" s="227"/>
      <c r="E8" s="228"/>
      <c r="F8" s="229">
        <f t="shared" ref="F8:F14" si="2">SUM(D8:E8)</f>
        <v>0</v>
      </c>
      <c r="G8" s="227"/>
      <c r="H8" s="228"/>
      <c r="I8" s="229">
        <f t="shared" ref="I8:I14" si="3">SUM(G8:H8)</f>
        <v>0</v>
      </c>
      <c r="J8" s="225"/>
    </row>
    <row r="9" spans="1:11" x14ac:dyDescent="0.35">
      <c r="A9" s="116" t="s">
        <v>89</v>
      </c>
      <c r="B9" s="465" t="s">
        <v>90</v>
      </c>
      <c r="C9" s="466"/>
      <c r="D9" s="227"/>
      <c r="E9" s="228"/>
      <c r="F9" s="229">
        <f t="shared" si="2"/>
        <v>0</v>
      </c>
      <c r="G9" s="227"/>
      <c r="H9" s="228"/>
      <c r="I9" s="229">
        <f t="shared" si="3"/>
        <v>0</v>
      </c>
      <c r="J9" s="225"/>
    </row>
    <row r="10" spans="1:11" x14ac:dyDescent="0.35">
      <c r="A10" s="116" t="s">
        <v>91</v>
      </c>
      <c r="B10" s="465" t="s">
        <v>92</v>
      </c>
      <c r="C10" s="466"/>
      <c r="D10" s="222"/>
      <c r="E10" s="223"/>
      <c r="F10" s="224">
        <f t="shared" si="2"/>
        <v>0</v>
      </c>
      <c r="G10" s="222"/>
      <c r="H10" s="223"/>
      <c r="I10" s="224">
        <f t="shared" si="3"/>
        <v>0</v>
      </c>
      <c r="J10" s="225"/>
    </row>
    <row r="11" spans="1:11" x14ac:dyDescent="0.35">
      <c r="A11" s="116" t="s">
        <v>93</v>
      </c>
      <c r="B11" s="465" t="s">
        <v>94</v>
      </c>
      <c r="C11" s="466"/>
      <c r="D11" s="222"/>
      <c r="E11" s="223"/>
      <c r="F11" s="224">
        <f t="shared" si="2"/>
        <v>0</v>
      </c>
      <c r="G11" s="222"/>
      <c r="H11" s="223"/>
      <c r="I11" s="224">
        <f t="shared" si="3"/>
        <v>0</v>
      </c>
      <c r="J11" s="225"/>
    </row>
    <row r="12" spans="1:11" x14ac:dyDescent="0.35">
      <c r="A12" s="116" t="s">
        <v>95</v>
      </c>
      <c r="B12" s="465" t="s">
        <v>96</v>
      </c>
      <c r="C12" s="466"/>
      <c r="D12" s="222"/>
      <c r="E12" s="223"/>
      <c r="F12" s="224">
        <f t="shared" si="2"/>
        <v>0</v>
      </c>
      <c r="G12" s="222"/>
      <c r="H12" s="223"/>
      <c r="I12" s="224">
        <f t="shared" si="3"/>
        <v>0</v>
      </c>
      <c r="J12" s="225"/>
    </row>
    <row r="13" spans="1:11" x14ac:dyDescent="0.35">
      <c r="A13" s="116" t="s">
        <v>97</v>
      </c>
      <c r="B13" s="465" t="s">
        <v>98</v>
      </c>
      <c r="C13" s="466"/>
      <c r="D13" s="222"/>
      <c r="E13" s="223"/>
      <c r="F13" s="224">
        <f t="shared" si="2"/>
        <v>0</v>
      </c>
      <c r="G13" s="222"/>
      <c r="H13" s="223"/>
      <c r="I13" s="224">
        <f t="shared" si="3"/>
        <v>0</v>
      </c>
      <c r="J13" s="225"/>
    </row>
    <row r="14" spans="1:11" x14ac:dyDescent="0.35">
      <c r="A14" s="116" t="s">
        <v>99</v>
      </c>
      <c r="B14" s="475" t="s">
        <v>100</v>
      </c>
      <c r="C14" s="476"/>
      <c r="D14" s="222"/>
      <c r="E14" s="223"/>
      <c r="F14" s="224">
        <f t="shared" si="2"/>
        <v>0</v>
      </c>
      <c r="G14" s="222"/>
      <c r="H14" s="223"/>
      <c r="I14" s="224">
        <f t="shared" si="3"/>
        <v>0</v>
      </c>
      <c r="J14" s="225"/>
    </row>
    <row r="15" spans="1:11" ht="5.5" customHeight="1" x14ac:dyDescent="0.35">
      <c r="A15" s="117"/>
      <c r="B15" s="76"/>
      <c r="C15" s="77"/>
      <c r="D15" s="109"/>
      <c r="E15" s="10"/>
      <c r="F15" s="79"/>
      <c r="G15" s="109"/>
      <c r="H15" s="10"/>
      <c r="I15" s="79"/>
      <c r="J15" s="113"/>
    </row>
    <row r="16" spans="1:11" x14ac:dyDescent="0.35">
      <c r="A16" s="80" t="s">
        <v>23</v>
      </c>
      <c r="B16" s="121" t="s">
        <v>0</v>
      </c>
      <c r="C16" s="122"/>
      <c r="D16" s="254">
        <f t="shared" ref="D16:I16" si="4">SUM(D17:D26)</f>
        <v>102200</v>
      </c>
      <c r="E16" s="257">
        <f t="shared" si="4"/>
        <v>0</v>
      </c>
      <c r="F16" s="258">
        <f>SUM(F17:F27)</f>
        <v>392200</v>
      </c>
      <c r="G16" s="261">
        <f t="shared" si="4"/>
        <v>122624</v>
      </c>
      <c r="H16" s="264">
        <f t="shared" si="4"/>
        <v>0</v>
      </c>
      <c r="I16" s="265">
        <f t="shared" si="4"/>
        <v>502624</v>
      </c>
      <c r="J16" s="112"/>
      <c r="K16" s="6"/>
    </row>
    <row r="17" spans="1:11" ht="15" customHeight="1" x14ac:dyDescent="0.35">
      <c r="A17" s="115" t="s">
        <v>101</v>
      </c>
      <c r="B17" s="477" t="s">
        <v>102</v>
      </c>
      <c r="C17" s="478"/>
      <c r="D17" s="210">
        <v>42200</v>
      </c>
      <c r="E17" s="82">
        <v>0</v>
      </c>
      <c r="F17" s="83">
        <f>SUM(D17:E17)</f>
        <v>42200</v>
      </c>
      <c r="G17" s="210">
        <v>72624</v>
      </c>
      <c r="H17" s="82">
        <v>0</v>
      </c>
      <c r="I17" s="83">
        <f>SUM(G17:H17)</f>
        <v>72624</v>
      </c>
      <c r="J17" s="211"/>
    </row>
    <row r="18" spans="1:11" x14ac:dyDescent="0.35">
      <c r="A18" s="116" t="s">
        <v>103</v>
      </c>
      <c r="B18" s="469" t="s">
        <v>104</v>
      </c>
      <c r="C18" s="470"/>
      <c r="D18" s="212">
        <v>60000</v>
      </c>
      <c r="E18" s="82"/>
      <c r="F18" s="83">
        <f t="shared" ref="F18:F26" si="5">SUM(D18:E18)</f>
        <v>60000</v>
      </c>
      <c r="G18" s="212">
        <v>50000</v>
      </c>
      <c r="H18" s="82"/>
      <c r="I18" s="83">
        <f t="shared" ref="I18:I26" si="6">SUM(G18:H18)</f>
        <v>50000</v>
      </c>
      <c r="J18" s="186"/>
    </row>
    <row r="19" spans="1:11" x14ac:dyDescent="0.35">
      <c r="A19" s="116" t="s">
        <v>105</v>
      </c>
      <c r="B19" s="469" t="s">
        <v>106</v>
      </c>
      <c r="C19" s="470"/>
      <c r="D19" s="212"/>
      <c r="E19" s="82"/>
      <c r="F19" s="83">
        <f t="shared" si="5"/>
        <v>0</v>
      </c>
      <c r="G19" s="212"/>
      <c r="H19" s="82"/>
      <c r="I19" s="83">
        <f t="shared" si="6"/>
        <v>0</v>
      </c>
      <c r="J19" s="186"/>
    </row>
    <row r="20" spans="1:11" x14ac:dyDescent="0.35">
      <c r="A20" s="116" t="s">
        <v>107</v>
      </c>
      <c r="B20" s="469" t="s">
        <v>108</v>
      </c>
      <c r="C20" s="470"/>
      <c r="D20" s="212"/>
      <c r="E20" s="85"/>
      <c r="F20" s="83">
        <f t="shared" si="5"/>
        <v>0</v>
      </c>
      <c r="G20" s="212"/>
      <c r="H20" s="85"/>
      <c r="I20" s="83">
        <f t="shared" si="6"/>
        <v>0</v>
      </c>
      <c r="J20" s="186"/>
    </row>
    <row r="21" spans="1:11" x14ac:dyDescent="0.35">
      <c r="A21" s="116" t="s">
        <v>109</v>
      </c>
      <c r="B21" s="469" t="s">
        <v>110</v>
      </c>
      <c r="C21" s="470"/>
      <c r="D21" s="212"/>
      <c r="E21" s="85"/>
      <c r="F21" s="83">
        <f t="shared" si="5"/>
        <v>0</v>
      </c>
      <c r="G21" s="212"/>
      <c r="H21" s="85"/>
      <c r="I21" s="83">
        <f t="shared" si="6"/>
        <v>0</v>
      </c>
      <c r="J21" s="186"/>
    </row>
    <row r="22" spans="1:11" ht="41.25" customHeight="1" x14ac:dyDescent="0.35">
      <c r="A22" s="118" t="s">
        <v>111</v>
      </c>
      <c r="B22" s="471" t="s">
        <v>199</v>
      </c>
      <c r="C22" s="472"/>
      <c r="D22" s="230"/>
      <c r="E22" s="231"/>
      <c r="F22" s="232">
        <f>IF('1. Souhrn'!C29="vyplňte","Vyplňte list 1. Souhrn.",'1. Souhrn'!C29)</f>
        <v>290000</v>
      </c>
      <c r="G22" s="230"/>
      <c r="H22" s="231"/>
      <c r="I22" s="232">
        <f>IF('1. Souhrn'!F29="vyplňte","Vyplňte list 1. Souhrn.",'1. Souhrn'!F29)</f>
        <v>380000</v>
      </c>
      <c r="J22" s="186"/>
      <c r="K22" s="145"/>
    </row>
    <row r="23" spans="1:11" x14ac:dyDescent="0.35">
      <c r="A23" s="116" t="s">
        <v>112</v>
      </c>
      <c r="B23" s="469" t="s">
        <v>113</v>
      </c>
      <c r="C23" s="470"/>
      <c r="D23" s="212"/>
      <c r="E23" s="85"/>
      <c r="F23" s="83">
        <f t="shared" si="5"/>
        <v>0</v>
      </c>
      <c r="G23" s="212"/>
      <c r="H23" s="85"/>
      <c r="I23" s="83">
        <f t="shared" si="6"/>
        <v>0</v>
      </c>
      <c r="J23" s="186"/>
      <c r="K23" s="145"/>
    </row>
    <row r="24" spans="1:11" x14ac:dyDescent="0.35">
      <c r="A24" s="116" t="s">
        <v>114</v>
      </c>
      <c r="B24" s="469" t="s">
        <v>115</v>
      </c>
      <c r="C24" s="470"/>
      <c r="D24" s="212"/>
      <c r="E24" s="85"/>
      <c r="F24" s="83">
        <f t="shared" si="5"/>
        <v>0</v>
      </c>
      <c r="G24" s="212"/>
      <c r="H24" s="85"/>
      <c r="I24" s="83">
        <f t="shared" si="6"/>
        <v>0</v>
      </c>
      <c r="J24" s="186"/>
    </row>
    <row r="25" spans="1:11" x14ac:dyDescent="0.35">
      <c r="A25" s="116" t="s">
        <v>116</v>
      </c>
      <c r="B25" s="469" t="s">
        <v>117</v>
      </c>
      <c r="C25" s="470"/>
      <c r="D25" s="212"/>
      <c r="E25" s="85"/>
      <c r="F25" s="83">
        <f t="shared" si="5"/>
        <v>0</v>
      </c>
      <c r="G25" s="212"/>
      <c r="H25" s="85"/>
      <c r="I25" s="83">
        <f t="shared" si="6"/>
        <v>0</v>
      </c>
      <c r="J25" s="186"/>
    </row>
    <row r="26" spans="1:11" x14ac:dyDescent="0.35">
      <c r="A26" s="116" t="s">
        <v>118</v>
      </c>
      <c r="B26" s="453" t="s">
        <v>119</v>
      </c>
      <c r="C26" s="473"/>
      <c r="D26" s="212"/>
      <c r="E26" s="85"/>
      <c r="F26" s="83">
        <f t="shared" si="5"/>
        <v>0</v>
      </c>
      <c r="G26" s="212"/>
      <c r="H26" s="85"/>
      <c r="I26" s="83">
        <f t="shared" si="6"/>
        <v>0</v>
      </c>
      <c r="J26" s="186"/>
    </row>
    <row r="27" spans="1:11" ht="45.65" customHeight="1" x14ac:dyDescent="0.35">
      <c r="A27" s="119" t="s">
        <v>193</v>
      </c>
      <c r="B27" s="490" t="s">
        <v>198</v>
      </c>
      <c r="C27" s="491"/>
      <c r="D27" s="213"/>
      <c r="E27" s="100"/>
      <c r="F27" s="214">
        <f>SUM(Tabulka10579[[#This Row],[Bez DPH]:[DPH]])</f>
        <v>0</v>
      </c>
      <c r="G27" s="215"/>
      <c r="H27" s="98"/>
      <c r="I27" s="216">
        <f>SUM(Tabulka105792[[#Totals],[Bez DPH]:[DPH]])</f>
        <v>0</v>
      </c>
      <c r="J27" s="217"/>
    </row>
    <row r="28" spans="1:11" s="120" customFormat="1" ht="23.15" customHeight="1" x14ac:dyDescent="0.35">
      <c r="A28" s="123" t="s">
        <v>120</v>
      </c>
      <c r="B28" s="468" t="s">
        <v>192</v>
      </c>
      <c r="C28" s="468"/>
      <c r="D28" s="492">
        <f>(F4-E4)+(F16-E16)</f>
        <v>414700</v>
      </c>
      <c r="E28" s="492"/>
      <c r="F28" s="492"/>
      <c r="G28" s="493">
        <f>(I4-H4)+(I16-H16)</f>
        <v>535624</v>
      </c>
      <c r="H28" s="493"/>
      <c r="I28" s="493"/>
      <c r="J28" s="124"/>
    </row>
    <row r="29" spans="1:11" s="7" customFormat="1" ht="15.75" customHeight="1" x14ac:dyDescent="0.35">
      <c r="A29" s="70"/>
      <c r="B29" s="71"/>
      <c r="C29" s="71"/>
      <c r="D29" s="72"/>
      <c r="E29" s="73"/>
      <c r="F29" s="74"/>
      <c r="G29" s="74"/>
      <c r="H29" s="74"/>
      <c r="I29" s="74"/>
      <c r="J29" s="75"/>
    </row>
    <row r="30" spans="1:11" x14ac:dyDescent="0.35">
      <c r="A30" s="9"/>
      <c r="B30" s="29" t="s">
        <v>136</v>
      </c>
    </row>
    <row r="31" spans="1:11" ht="14.5" customHeight="1" x14ac:dyDescent="0.25">
      <c r="B31" s="467" t="s">
        <v>141</v>
      </c>
      <c r="C31" s="467"/>
      <c r="D31" s="467"/>
      <c r="E31" s="467"/>
      <c r="F31" s="467"/>
      <c r="G31" s="467"/>
      <c r="H31" s="467"/>
      <c r="I31" s="467"/>
      <c r="J31" s="467"/>
    </row>
    <row r="32" spans="1:11" x14ac:dyDescent="0.35">
      <c r="B32" s="487"/>
      <c r="C32" s="487"/>
      <c r="D32" s="487"/>
      <c r="E32" s="487"/>
      <c r="F32" s="487"/>
      <c r="G32" s="487"/>
      <c r="H32" s="487"/>
      <c r="I32" s="487"/>
      <c r="J32" s="487"/>
    </row>
  </sheetData>
  <sheetProtection algorithmName="SHA-512" hashValue="fhvyG3KCEtV1/faIihqrLsCnTynf4u40QXQiyDYA/dMvlIAFRn430sTJDMXzOXktPuPwLgvOZQjGWeu0wzc7xA==" saltValue="6T9u3q+6H9EeUQpt/F50Lg==" spinCount="100000" sheet="1" formatCells="0" formatColumns="0" formatRows="0" insertColumns="0" insertRows="0" insertHyperlinks="0" deleteColumns="0" deleteRows="0"/>
  <mergeCells count="32">
    <mergeCell ref="D2:F2"/>
    <mergeCell ref="G2:I2"/>
    <mergeCell ref="B32:J32"/>
    <mergeCell ref="B19:C19"/>
    <mergeCell ref="B20:C20"/>
    <mergeCell ref="B7:C7"/>
    <mergeCell ref="B8:C8"/>
    <mergeCell ref="B27:C27"/>
    <mergeCell ref="D28:F28"/>
    <mergeCell ref="G28:I28"/>
    <mergeCell ref="A1:B1"/>
    <mergeCell ref="B13:C13"/>
    <mergeCell ref="B14:C14"/>
    <mergeCell ref="B17:C17"/>
    <mergeCell ref="B18:C18"/>
    <mergeCell ref="A2:C3"/>
    <mergeCell ref="D1:F1"/>
    <mergeCell ref="B4:C4"/>
    <mergeCell ref="B5:C5"/>
    <mergeCell ref="B6:C6"/>
    <mergeCell ref="B31:J31"/>
    <mergeCell ref="B9:C9"/>
    <mergeCell ref="B10:C10"/>
    <mergeCell ref="B11:C11"/>
    <mergeCell ref="B12:C12"/>
    <mergeCell ref="B28:C28"/>
    <mergeCell ref="B21:C21"/>
    <mergeCell ref="B22:C22"/>
    <mergeCell ref="B23:C23"/>
    <mergeCell ref="B24:C24"/>
    <mergeCell ref="B25:C25"/>
    <mergeCell ref="B26:C26"/>
  </mergeCells>
  <conditionalFormatting sqref="F22">
    <cfRule type="containsText" dxfId="144" priority="2" operator="containsText" text="Vyplňte">
      <formula>NOT(ISERROR(SEARCH("Vyplňte",F22)))</formula>
    </cfRule>
  </conditionalFormatting>
  <conditionalFormatting sqref="I22">
    <cfRule type="containsText" dxfId="143" priority="1" operator="containsText" text="Vyplňte">
      <formula>NOT(ISERROR(SEARCH("Vyplňte",I22)))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&amp;C&amp;P</oddFoot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829F-C067-4549-A243-484DDAC15425}">
  <dimension ref="A1:S93"/>
  <sheetViews>
    <sheetView showGridLines="0" tabSelected="1" zoomScale="50" zoomScaleNormal="50" workbookViewId="0">
      <selection activeCell="B30" sqref="B30"/>
    </sheetView>
  </sheetViews>
  <sheetFormatPr defaultColWidth="8.7265625" defaultRowHeight="12.5" outlineLevelRow="1" x14ac:dyDescent="0.25"/>
  <cols>
    <col min="1" max="1" width="4.7265625" style="18" customWidth="1"/>
    <col min="2" max="2" width="25.26953125" style="18" customWidth="1"/>
    <col min="3" max="3" width="24" style="18" customWidth="1"/>
    <col min="4" max="4" width="38.81640625" style="18" customWidth="1"/>
    <col min="5" max="5" width="33.1796875" style="18" customWidth="1"/>
    <col min="6" max="6" width="16.1796875" style="18" customWidth="1"/>
    <col min="7" max="7" width="23.1796875" style="18" customWidth="1"/>
    <col min="8" max="8" width="18.54296875" style="18" customWidth="1"/>
    <col min="9" max="9" width="12.54296875" style="18" customWidth="1"/>
    <col min="10" max="12" width="18.54296875" style="18" customWidth="1"/>
    <col min="13" max="13" width="0.453125" style="18" customWidth="1"/>
    <col min="14" max="16384" width="8.7265625" style="18"/>
  </cols>
  <sheetData>
    <row r="1" spans="1:12" s="27" customFormat="1" ht="18" x14ac:dyDescent="0.35">
      <c r="A1" s="52"/>
      <c r="B1" s="52" t="s">
        <v>200</v>
      </c>
      <c r="C1" s="52"/>
      <c r="D1" s="52"/>
      <c r="E1" s="53"/>
      <c r="F1" s="53"/>
      <c r="G1" s="53"/>
      <c r="H1" s="54"/>
      <c r="I1" s="54"/>
      <c r="J1" s="54"/>
      <c r="K1" s="54"/>
      <c r="L1" s="54"/>
    </row>
    <row r="2" spans="1:12" s="27" customFormat="1" ht="14.15" customHeight="1" outlineLevel="1" x14ac:dyDescent="0.3">
      <c r="A2" s="15"/>
      <c r="B2" s="150" t="s">
        <v>201</v>
      </c>
      <c r="E2" s="494"/>
      <c r="F2" s="494"/>
      <c r="G2" s="494"/>
    </row>
    <row r="3" spans="1:12" s="27" customFormat="1" ht="13" outlineLevel="1" x14ac:dyDescent="0.25">
      <c r="E3" s="51"/>
      <c r="F3" s="68" t="s">
        <v>145</v>
      </c>
      <c r="G3" s="68" t="s">
        <v>143</v>
      </c>
      <c r="H3" s="37"/>
      <c r="I3" s="37"/>
      <c r="J3" s="37"/>
      <c r="K3" s="37"/>
    </row>
    <row r="4" spans="1:12" s="27" customFormat="1" ht="13" outlineLevel="1" x14ac:dyDescent="0.3">
      <c r="E4" s="69" t="s">
        <v>169</v>
      </c>
      <c r="F4" s="266">
        <f>IF('1. Souhrn'!C29="vyplňte","Vyplňte list 1. Souhrn!",'1. Souhrn'!C29)</f>
        <v>290000</v>
      </c>
      <c r="G4" s="267">
        <f>SUM(Seznam_dokladu[Hrazeno z dotace 2022])</f>
        <v>288950</v>
      </c>
      <c r="H4" s="147" t="str">
        <f>IF(G4&gt;F4,"Čerpání neodpovídá poskytnuté dotaci."," ")</f>
        <v xml:space="preserve"> </v>
      </c>
      <c r="I4" s="37"/>
      <c r="J4" s="37"/>
      <c r="K4" s="37"/>
    </row>
    <row r="5" spans="1:12" s="27" customFormat="1" ht="14" outlineLevel="1" x14ac:dyDescent="0.25">
      <c r="E5" s="36"/>
      <c r="F5" s="37"/>
      <c r="G5" s="38"/>
      <c r="H5" s="39"/>
      <c r="I5" s="148"/>
      <c r="J5" s="37"/>
      <c r="K5" s="37"/>
    </row>
    <row r="6" spans="1:12" s="27" customFormat="1" ht="13" outlineLevel="1" x14ac:dyDescent="0.25">
      <c r="E6" s="66" t="s">
        <v>170</v>
      </c>
      <c r="F6" s="67" t="s">
        <v>150</v>
      </c>
      <c r="G6" s="67" t="s">
        <v>144</v>
      </c>
      <c r="H6" s="67" t="s">
        <v>171</v>
      </c>
      <c r="I6" s="148"/>
      <c r="J6" s="37"/>
      <c r="K6" s="37"/>
    </row>
    <row r="7" spans="1:12" s="27" customFormat="1" ht="14.5" customHeight="1" outlineLevel="1" x14ac:dyDescent="0.3">
      <c r="D7" s="131"/>
      <c r="E7" s="495" t="s">
        <v>127</v>
      </c>
      <c r="F7" s="497" t="s">
        <v>146</v>
      </c>
      <c r="G7" s="499">
        <f>IF('1. Souhrn'!C18="vyplňte","Vyplňte list 1. Souhrn!",'1. Souhrn'!C18)</f>
        <v>200000</v>
      </c>
      <c r="H7" s="499">
        <f>SUMIF(Seznam_dokladu[Kód položky struktury dotace
(I / II / III / IV)],"I",Seznam_dokladu[Hrazeno z dotace 2022])</f>
        <v>200000</v>
      </c>
      <c r="I7" s="44" t="str">
        <f>IF(H7&gt;G7,"Čerpání dotace nesmí být vyšší než je max. výše stanovená v rozhodnutí."," ")</f>
        <v xml:space="preserve"> </v>
      </c>
      <c r="J7" s="44"/>
      <c r="K7" s="44"/>
    </row>
    <row r="8" spans="1:12" s="27" customFormat="1" ht="13" outlineLevel="1" x14ac:dyDescent="0.3">
      <c r="D8" s="146"/>
      <c r="E8" s="496"/>
      <c r="F8" s="498"/>
      <c r="G8" s="500"/>
      <c r="H8" s="500"/>
      <c r="I8" s="44" t="str">
        <f>IF(H7='2. Náklady'!F8," ","Čerpání musí být v souladu s listem 2. Náklady.")</f>
        <v xml:space="preserve"> </v>
      </c>
      <c r="J8" s="44"/>
      <c r="K8" s="44"/>
    </row>
    <row r="9" spans="1:12" s="27" customFormat="1" ht="14.5" customHeight="1" outlineLevel="1" x14ac:dyDescent="0.3">
      <c r="D9" s="131"/>
      <c r="E9" s="495" t="s">
        <v>128</v>
      </c>
      <c r="F9" s="497" t="s">
        <v>147</v>
      </c>
      <c r="G9" s="499">
        <f>IF('1. Souhrn'!C20="vyplňte","Vyplňte list 1. Souhrn!",'1. Souhrn'!C20)</f>
        <v>130000</v>
      </c>
      <c r="H9" s="499">
        <f>SUMIF(Seznam_dokladu[Kód položky struktury dotace
(I / II / III / IV)],"II",Seznam_dokladu[Hrazeno z dotace 2022])</f>
        <v>31480</v>
      </c>
      <c r="I9" s="44" t="str">
        <f>IF(H9&gt;G9,"Čerpání dotace nesmí být vyšší než je max. výše stanovená v rozhodnutí."," ")</f>
        <v xml:space="preserve"> </v>
      </c>
      <c r="J9" s="44"/>
      <c r="K9" s="44"/>
    </row>
    <row r="10" spans="1:12" s="27" customFormat="1" ht="13" outlineLevel="1" x14ac:dyDescent="0.3">
      <c r="D10" s="146"/>
      <c r="E10" s="496"/>
      <c r="F10" s="498"/>
      <c r="G10" s="500"/>
      <c r="H10" s="500"/>
      <c r="I10" s="44" t="str">
        <f>IF(H9='2. Náklady'!F10," ","Čerpání musí být v souladu s listem 2. Náklady.")</f>
        <v xml:space="preserve"> </v>
      </c>
      <c r="J10" s="44"/>
      <c r="K10" s="44"/>
    </row>
    <row r="11" spans="1:12" s="27" customFormat="1" ht="14.5" customHeight="1" outlineLevel="1" x14ac:dyDescent="0.3">
      <c r="D11" s="131"/>
      <c r="E11" s="495" t="s">
        <v>129</v>
      </c>
      <c r="F11" s="497" t="s">
        <v>148</v>
      </c>
      <c r="G11" s="499">
        <f>IF('1. Souhrn'!C22="vyplňte","Vyplňte list 1. Souhrn!",'1. Souhrn'!C22)</f>
        <v>20000</v>
      </c>
      <c r="H11" s="499">
        <f>SUMIF(Seznam_dokladu[Kód položky struktury dotace
(I / II / III / IV)],"III",Seznam_dokladu[Hrazeno z dotace 2022])</f>
        <v>3950</v>
      </c>
      <c r="I11" s="44" t="str">
        <f>IF(H11&gt;G11,"Čerpání dotace nesmí být vyšší než je max. výše stanovená v rozhodnutí."," ")</f>
        <v xml:space="preserve"> </v>
      </c>
      <c r="J11" s="44"/>
      <c r="K11" s="44"/>
    </row>
    <row r="12" spans="1:12" s="27" customFormat="1" ht="13" outlineLevel="1" x14ac:dyDescent="0.3">
      <c r="D12" s="146"/>
      <c r="E12" s="496"/>
      <c r="F12" s="498"/>
      <c r="G12" s="500"/>
      <c r="H12" s="500"/>
      <c r="I12" s="44" t="str">
        <f>IF(H11='2. Náklady'!F12," ","Čerpání musí být v souladu s listem 2. Náklady.")</f>
        <v xml:space="preserve"> </v>
      </c>
      <c r="J12" s="44"/>
      <c r="K12" s="44"/>
    </row>
    <row r="13" spans="1:12" s="27" customFormat="1" ht="14.5" customHeight="1" outlineLevel="1" x14ac:dyDescent="0.3">
      <c r="D13" s="131"/>
      <c r="E13" s="495" t="s">
        <v>130</v>
      </c>
      <c r="F13" s="497" t="s">
        <v>149</v>
      </c>
      <c r="G13" s="499">
        <f>IF('1. Souhrn'!C24="vyplňte","Vyplňte list 1. Souhrn!",'1. Souhrn'!C24)</f>
        <v>60000</v>
      </c>
      <c r="H13" s="499">
        <f>SUMIF(Seznam_dokladu[Kód položky struktury dotace
(I / II / III / IV)],"IV",Seznam_dokladu[Hrazeno z dotace 2022])</f>
        <v>53520</v>
      </c>
      <c r="I13" s="44" t="str">
        <f>IF(H13&gt;G13,"Čerpání dotace nesmí být vyšší než je max. výše stanovená v rozhodnutí."," ")</f>
        <v xml:space="preserve"> </v>
      </c>
      <c r="J13" s="44"/>
      <c r="K13" s="44"/>
    </row>
    <row r="14" spans="1:12" s="27" customFormat="1" ht="13" outlineLevel="1" x14ac:dyDescent="0.3">
      <c r="D14" s="146"/>
      <c r="E14" s="496"/>
      <c r="F14" s="498"/>
      <c r="G14" s="500"/>
      <c r="H14" s="500"/>
      <c r="I14" s="44" t="str">
        <f>IF(H13='2. Náklady'!F14," ","Čerpání musí být v souladu s listem 2. Náklady.")</f>
        <v xml:space="preserve"> </v>
      </c>
      <c r="J14" s="44"/>
      <c r="K14" s="44"/>
    </row>
    <row r="15" spans="1:12" s="27" customFormat="1" ht="13" outlineLevel="1" x14ac:dyDescent="0.3">
      <c r="D15" s="146"/>
      <c r="E15" s="60"/>
      <c r="F15" s="61"/>
      <c r="G15" s="41"/>
      <c r="H15" s="41"/>
      <c r="I15" s="44"/>
      <c r="J15" s="44"/>
      <c r="K15" s="44"/>
    </row>
    <row r="16" spans="1:12" s="27" customFormat="1" ht="13" outlineLevel="1" x14ac:dyDescent="0.3">
      <c r="D16" s="146"/>
      <c r="E16" s="51"/>
      <c r="F16" s="64" t="s">
        <v>145</v>
      </c>
      <c r="G16" s="64" t="s">
        <v>143</v>
      </c>
      <c r="H16" s="37"/>
      <c r="I16" s="44"/>
      <c r="J16" s="44"/>
      <c r="K16" s="44"/>
    </row>
    <row r="17" spans="1:19" s="27" customFormat="1" ht="13" outlineLevel="1" x14ac:dyDescent="0.3">
      <c r="D17" s="146"/>
      <c r="E17" s="65" t="s">
        <v>172</v>
      </c>
      <c r="F17" s="266">
        <f>IF('1. Souhrn'!F29="vyplňte","Vyplňte list 1. Souhrn!",'1. Souhrn'!F29)</f>
        <v>380000</v>
      </c>
      <c r="G17" s="267">
        <f>SUM(Seznam_dokladu[Hrazeno z dotace 2023])</f>
        <v>380000</v>
      </c>
      <c r="H17" s="147" t="str">
        <f>IF(G17&gt;F17,"Čerpání neodpovídá poskytnuté dotaci."," ")</f>
        <v xml:space="preserve"> </v>
      </c>
      <c r="I17" s="44"/>
      <c r="J17" s="44"/>
      <c r="K17" s="44"/>
    </row>
    <row r="18" spans="1:19" s="27" customFormat="1" ht="14" outlineLevel="1" x14ac:dyDescent="0.3">
      <c r="D18" s="146"/>
      <c r="E18" s="36"/>
      <c r="F18" s="37"/>
      <c r="G18" s="38"/>
      <c r="H18" s="39"/>
      <c r="I18" s="44"/>
      <c r="J18" s="44"/>
      <c r="K18" s="44"/>
    </row>
    <row r="19" spans="1:19" s="27" customFormat="1" ht="13" outlineLevel="1" x14ac:dyDescent="0.3">
      <c r="D19" s="146"/>
      <c r="E19" s="62" t="s">
        <v>173</v>
      </c>
      <c r="F19" s="63" t="s">
        <v>150</v>
      </c>
      <c r="G19" s="63" t="s">
        <v>144</v>
      </c>
      <c r="H19" s="63" t="s">
        <v>174</v>
      </c>
      <c r="I19" s="148"/>
      <c r="J19" s="44"/>
      <c r="K19" s="44"/>
    </row>
    <row r="20" spans="1:19" s="27" customFormat="1" ht="13" outlineLevel="1" x14ac:dyDescent="0.3">
      <c r="D20" s="131"/>
      <c r="E20" s="501" t="s">
        <v>127</v>
      </c>
      <c r="F20" s="497" t="s">
        <v>146</v>
      </c>
      <c r="G20" s="499">
        <f>IF('1. Souhrn'!F18="vyplňte","Vyplňte list 1. Souhrn!",'1. Souhrn'!F18)</f>
        <v>300000</v>
      </c>
      <c r="H20" s="499">
        <f>SUMIF(Seznam_dokladu[Kód položky struktury dotace
(I / II / III / IV)],"I",Seznam_dokladu[Hrazeno z dotace 2023])</f>
        <v>284000</v>
      </c>
      <c r="I20" s="44" t="str">
        <f>IF(H20&gt;G20,"Čerpání dotace nesmí být vyšší než je max. výše stanovená v rozhodnutí."," ")</f>
        <v xml:space="preserve"> </v>
      </c>
      <c r="J20" s="44"/>
      <c r="K20" s="44"/>
    </row>
    <row r="21" spans="1:19" s="27" customFormat="1" ht="13" outlineLevel="1" x14ac:dyDescent="0.3">
      <c r="C21" s="131"/>
      <c r="E21" s="502"/>
      <c r="F21" s="498"/>
      <c r="G21" s="500"/>
      <c r="H21" s="500"/>
      <c r="I21" s="44" t="str">
        <f>IF(H20='2. Náklady'!J8," ","Čerpání musí být v souladu s listem 2. Náklady.")</f>
        <v xml:space="preserve"> </v>
      </c>
      <c r="J21" s="44"/>
      <c r="K21" s="44"/>
    </row>
    <row r="22" spans="1:19" s="27" customFormat="1" ht="13" outlineLevel="1" x14ac:dyDescent="0.3">
      <c r="C22" s="131"/>
      <c r="E22" s="501" t="s">
        <v>128</v>
      </c>
      <c r="F22" s="497" t="s">
        <v>147</v>
      </c>
      <c r="G22" s="499">
        <f>IF('1. Souhrn'!F20="vyplňte","Vyplňte list 1. Souhrn!",'1. Souhrn'!F20)</f>
        <v>160000</v>
      </c>
      <c r="H22" s="499">
        <f>SUMIF(Seznam_dokladu[Kód položky struktury dotace
(I / II / III / IV)],"II",Seznam_dokladu[Hrazeno z dotace 2023])</f>
        <v>21000</v>
      </c>
      <c r="I22" s="44" t="str">
        <f>IF(H22&gt;G22,"Čerpání dotace nesmí být vyšší než je max. výše stanovená v rozhodnutí."," ")</f>
        <v xml:space="preserve"> </v>
      </c>
      <c r="J22" s="44"/>
      <c r="K22" s="44"/>
    </row>
    <row r="23" spans="1:19" s="27" customFormat="1" ht="13" outlineLevel="1" x14ac:dyDescent="0.3">
      <c r="B23" s="131"/>
      <c r="C23" s="131" t="s">
        <v>321</v>
      </c>
      <c r="E23" s="502"/>
      <c r="F23" s="498"/>
      <c r="G23" s="500"/>
      <c r="H23" s="500"/>
      <c r="I23" s="44" t="str">
        <f>IF(H22='2. Náklady'!J10," ","Čerpání musí být v souladu s listem 2. Náklady.")</f>
        <v xml:space="preserve"> </v>
      </c>
      <c r="J23" s="44"/>
      <c r="K23" s="44"/>
    </row>
    <row r="24" spans="1:19" s="27" customFormat="1" ht="13" outlineLevel="1" x14ac:dyDescent="0.3">
      <c r="C24" s="27" t="s">
        <v>322</v>
      </c>
      <c r="D24" s="146" t="s">
        <v>226</v>
      </c>
      <c r="E24" s="501" t="s">
        <v>129</v>
      </c>
      <c r="F24" s="497" t="s">
        <v>148</v>
      </c>
      <c r="G24" s="499">
        <f>IF('1. Souhrn'!F22="vyplňte","Vyplňte list 1. Souhrn!",'1. Souhrn'!F22)</f>
        <v>30000</v>
      </c>
      <c r="H24" s="499">
        <f>SUMIF(Seznam_dokladu[Kód položky struktury dotace
(I / II / III / IV)],"III",Seznam_dokladu[Hrazeno z dotace 2023])</f>
        <v>5000</v>
      </c>
      <c r="I24" s="44" t="str">
        <f>IF(H24&gt;G24,"Čerpání dotace nesmí být vyšší než je max. výše stanovená v rozhodnutí."," ")</f>
        <v xml:space="preserve"> </v>
      </c>
      <c r="J24" s="44"/>
      <c r="K24" s="44"/>
    </row>
    <row r="25" spans="1:19" s="27" customFormat="1" ht="13" outlineLevel="1" x14ac:dyDescent="0.3">
      <c r="C25" s="27" t="s">
        <v>323</v>
      </c>
      <c r="D25" s="146" t="s">
        <v>232</v>
      </c>
      <c r="E25" s="502"/>
      <c r="F25" s="498"/>
      <c r="G25" s="500"/>
      <c r="H25" s="500"/>
      <c r="I25" s="44" t="str">
        <f>IF(H24='2. Náklady'!J12," ","Čerpání musí být v souladu s listem 2. Náklady.")</f>
        <v xml:space="preserve"> </v>
      </c>
      <c r="J25" s="44"/>
      <c r="K25" s="44"/>
    </row>
    <row r="26" spans="1:19" s="27" customFormat="1" ht="13" outlineLevel="1" x14ac:dyDescent="0.3">
      <c r="C26" s="27" t="s">
        <v>324</v>
      </c>
      <c r="D26" s="146" t="s">
        <v>325</v>
      </c>
      <c r="E26" s="501" t="s">
        <v>130</v>
      </c>
      <c r="F26" s="497" t="s">
        <v>149</v>
      </c>
      <c r="G26" s="499">
        <f>IF('1. Souhrn'!F24="vyplňte","Vyplňte list 1. Souhrn!",'1. Souhrn'!F24)</f>
        <v>90000</v>
      </c>
      <c r="H26" s="499">
        <f>SUMIF(Seznam_dokladu[Kód položky struktury dotace
(I / II / III / IV)],"IV",Seznam_dokladu[Hrazeno z dotace 2023])</f>
        <v>70000</v>
      </c>
      <c r="I26" s="44" t="str">
        <f>IF(H26&gt;G26,"Čerpání dotace nesmí být vyšší než je max. výše stanovená v rozhodnutí."," ")</f>
        <v xml:space="preserve"> </v>
      </c>
      <c r="J26" s="44"/>
      <c r="K26" s="44"/>
    </row>
    <row r="27" spans="1:19" s="27" customFormat="1" outlineLevel="1" x14ac:dyDescent="0.25">
      <c r="C27" s="27" t="s">
        <v>326</v>
      </c>
      <c r="E27" s="502"/>
      <c r="F27" s="498"/>
      <c r="G27" s="500"/>
      <c r="H27" s="500"/>
      <c r="I27" s="44" t="str">
        <f>IF(H26='2. Náklady'!J14," ","Čerpání musí být v souladu s listem 2. Náklady.")</f>
        <v xml:space="preserve"> </v>
      </c>
      <c r="J27" s="44"/>
      <c r="K27" s="44"/>
    </row>
    <row r="28" spans="1:19" s="27" customFormat="1" ht="13" x14ac:dyDescent="0.3">
      <c r="L28" s="43" t="s">
        <v>18</v>
      </c>
    </row>
    <row r="29" spans="1:19" s="19" customFormat="1" ht="104" x14ac:dyDescent="0.35">
      <c r="A29" s="268" t="s">
        <v>142</v>
      </c>
      <c r="B29" s="269" t="s">
        <v>161</v>
      </c>
      <c r="C29" s="269" t="s">
        <v>202</v>
      </c>
      <c r="D29" s="270" t="s">
        <v>162</v>
      </c>
      <c r="E29" s="271" t="s">
        <v>163</v>
      </c>
      <c r="F29" s="269" t="s">
        <v>151</v>
      </c>
      <c r="G29" s="269" t="s">
        <v>164</v>
      </c>
      <c r="H29" s="269" t="s">
        <v>159</v>
      </c>
      <c r="I29" s="269" t="s">
        <v>10</v>
      </c>
      <c r="J29" s="269" t="s">
        <v>137</v>
      </c>
      <c r="K29" s="161" t="s">
        <v>168</v>
      </c>
      <c r="L29" s="162" t="s">
        <v>175</v>
      </c>
      <c r="M29" s="149" t="s">
        <v>205</v>
      </c>
      <c r="N29" s="129"/>
    </row>
    <row r="30" spans="1:19" ht="14.5" customHeight="1" x14ac:dyDescent="0.25">
      <c r="A30" s="32">
        <f>ROW()-29</f>
        <v>1</v>
      </c>
      <c r="B30" s="22" t="s">
        <v>218</v>
      </c>
      <c r="C30" s="22" t="s">
        <v>2</v>
      </c>
      <c r="D30" s="30" t="s">
        <v>219</v>
      </c>
      <c r="E30" s="22" t="s">
        <v>220</v>
      </c>
      <c r="F30" s="23" t="s">
        <v>146</v>
      </c>
      <c r="G30" s="160">
        <v>44914</v>
      </c>
      <c r="H30" s="20">
        <v>30000</v>
      </c>
      <c r="I30" s="20">
        <v>6300</v>
      </c>
      <c r="J30" s="33">
        <f>SUM(Seznam_dokladu[[#This Row],[Částka bez DPH]:[DPH]])</f>
        <v>36300</v>
      </c>
      <c r="K30" s="33">
        <v>30000</v>
      </c>
      <c r="L30" s="56"/>
      <c r="M30" s="144" t="str">
        <f>_xlfn.IFS(Seznam_dokladu[[#This Row],[Hrazeno z dotace 2022]]&gt;Seznam_dokladu[[#This Row],[Částka celkem]],"Částka hrazená z dotace je vyšší než částka celkem.",Seznam_dokladu[[#This Row],[Hrazeno z dotace 2022]]&gt;Seznam_dokladu[[#This Row],[Částka bez DPH]],"DPH je neuznatelným nákladem, který nelze hradit z dotace.",Seznam_dokladu[[#This Row],[Hrazeno z dotace 2023]]&gt;Seznam_dokladu[[#This Row],[Částka celkem]],"Částka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" s="130"/>
      <c r="S30" s="153"/>
    </row>
    <row r="31" spans="1:19" ht="14.5" customHeight="1" x14ac:dyDescent="0.25">
      <c r="A31" s="32">
        <f t="shared" ref="A31:A93" si="0">ROW()-29</f>
        <v>2</v>
      </c>
      <c r="B31" s="24" t="s">
        <v>221</v>
      </c>
      <c r="C31" s="24" t="s">
        <v>2</v>
      </c>
      <c r="D31" s="31" t="s">
        <v>222</v>
      </c>
      <c r="E31" s="24" t="s">
        <v>223</v>
      </c>
      <c r="F31" s="25" t="s">
        <v>146</v>
      </c>
      <c r="G31" s="151">
        <v>44864</v>
      </c>
      <c r="H31" s="21">
        <v>15000</v>
      </c>
      <c r="I31" s="21">
        <v>0</v>
      </c>
      <c r="J31" s="33">
        <f>SUM(Seznam_dokladu[[#This Row],[Částka bez DPH]:[DPH]])</f>
        <v>15000</v>
      </c>
      <c r="K31" s="33">
        <v>15000</v>
      </c>
      <c r="L31" s="56"/>
      <c r="M31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1" s="130"/>
    </row>
    <row r="32" spans="1:19" x14ac:dyDescent="0.25">
      <c r="A32" s="32">
        <f t="shared" si="0"/>
        <v>3</v>
      </c>
      <c r="B32" s="24" t="s">
        <v>224</v>
      </c>
      <c r="C32" s="24" t="s">
        <v>2</v>
      </c>
      <c r="D32" s="31" t="s">
        <v>222</v>
      </c>
      <c r="E32" s="24" t="s">
        <v>223</v>
      </c>
      <c r="F32" s="25" t="s">
        <v>146</v>
      </c>
      <c r="G32" s="151">
        <v>44914</v>
      </c>
      <c r="H32" s="21">
        <v>15000</v>
      </c>
      <c r="I32" s="21">
        <v>0</v>
      </c>
      <c r="J32" s="33">
        <f>SUM(Seznam_dokladu[[#This Row],[Částka bez DPH]:[DPH]])</f>
        <v>15000</v>
      </c>
      <c r="K32" s="33">
        <v>15000</v>
      </c>
      <c r="L32" s="56"/>
      <c r="M32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2" s="130"/>
    </row>
    <row r="33" spans="1:14" x14ac:dyDescent="0.25">
      <c r="A33" s="32">
        <f t="shared" si="0"/>
        <v>4</v>
      </c>
      <c r="B33" s="24" t="s">
        <v>225</v>
      </c>
      <c r="C33" s="24" t="s">
        <v>226</v>
      </c>
      <c r="D33" s="31" t="s">
        <v>227</v>
      </c>
      <c r="E33" s="24" t="s">
        <v>228</v>
      </c>
      <c r="F33" s="25" t="s">
        <v>146</v>
      </c>
      <c r="G33" s="151">
        <v>44880</v>
      </c>
      <c r="H33" s="21">
        <v>10000</v>
      </c>
      <c r="I33" s="21">
        <v>0</v>
      </c>
      <c r="J33" s="33">
        <f>SUM(Seznam_dokladu[[#This Row],[Částka bez DPH]:[DPH]])</f>
        <v>10000</v>
      </c>
      <c r="K33" s="33">
        <v>10000</v>
      </c>
      <c r="L33" s="56"/>
      <c r="M33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3" s="130"/>
    </row>
    <row r="34" spans="1:14" x14ac:dyDescent="0.25">
      <c r="A34" s="32">
        <f t="shared" si="0"/>
        <v>5</v>
      </c>
      <c r="B34" s="24" t="s">
        <v>225</v>
      </c>
      <c r="C34" s="24" t="s">
        <v>226</v>
      </c>
      <c r="D34" s="31" t="s">
        <v>227</v>
      </c>
      <c r="E34" s="24" t="s">
        <v>229</v>
      </c>
      <c r="F34" s="25" t="s">
        <v>146</v>
      </c>
      <c r="G34" s="151">
        <v>44880</v>
      </c>
      <c r="H34" s="21">
        <v>10000</v>
      </c>
      <c r="I34" s="21">
        <v>0</v>
      </c>
      <c r="J34" s="33">
        <f>SUM(Seznam_dokladu[[#This Row],[Částka bez DPH]:[DPH]])</f>
        <v>10000</v>
      </c>
      <c r="K34" s="33">
        <v>10000</v>
      </c>
      <c r="L34" s="56"/>
      <c r="M34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4" s="130"/>
    </row>
    <row r="35" spans="1:14" x14ac:dyDescent="0.25">
      <c r="A35" s="32">
        <f t="shared" si="0"/>
        <v>6</v>
      </c>
      <c r="B35" s="24" t="s">
        <v>225</v>
      </c>
      <c r="C35" s="24" t="s">
        <v>226</v>
      </c>
      <c r="D35" s="31" t="s">
        <v>227</v>
      </c>
      <c r="E35" s="24" t="s">
        <v>230</v>
      </c>
      <c r="F35" s="25" t="s">
        <v>146</v>
      </c>
      <c r="G35" s="151">
        <v>44941</v>
      </c>
      <c r="H35" s="21">
        <v>10000</v>
      </c>
      <c r="I35" s="21">
        <v>0</v>
      </c>
      <c r="J35" s="34">
        <f>SUM(Seznam_dokladu[[#This Row],[Částka bez DPH]:[DPH]])</f>
        <v>10000</v>
      </c>
      <c r="K35" s="34">
        <v>10000</v>
      </c>
      <c r="L35" s="57"/>
      <c r="M35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5" s="130"/>
    </row>
    <row r="36" spans="1:14" x14ac:dyDescent="0.25">
      <c r="A36" s="32">
        <f t="shared" si="0"/>
        <v>7</v>
      </c>
      <c r="B36" s="24" t="s">
        <v>231</v>
      </c>
      <c r="C36" s="24" t="s">
        <v>232</v>
      </c>
      <c r="D36" s="31" t="s">
        <v>233</v>
      </c>
      <c r="E36" s="24" t="s">
        <v>229</v>
      </c>
      <c r="F36" s="25" t="s">
        <v>146</v>
      </c>
      <c r="G36" s="152">
        <v>44849</v>
      </c>
      <c r="H36" s="21">
        <v>12000</v>
      </c>
      <c r="I36" s="21">
        <v>0</v>
      </c>
      <c r="J36" s="34">
        <f>SUM(Seznam_dokladu[[#This Row],[Částka bez DPH]:[DPH]])</f>
        <v>12000</v>
      </c>
      <c r="K36" s="34">
        <v>12000</v>
      </c>
      <c r="L36" s="57"/>
      <c r="M36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6" s="130"/>
    </row>
    <row r="37" spans="1:14" x14ac:dyDescent="0.25">
      <c r="A37" s="32">
        <f t="shared" si="0"/>
        <v>8</v>
      </c>
      <c r="B37" s="24" t="s">
        <v>231</v>
      </c>
      <c r="C37" s="24" t="s">
        <v>232</v>
      </c>
      <c r="D37" s="31" t="s">
        <v>233</v>
      </c>
      <c r="E37" s="24" t="s">
        <v>234</v>
      </c>
      <c r="F37" s="25" t="s">
        <v>146</v>
      </c>
      <c r="G37" s="152">
        <v>44880</v>
      </c>
      <c r="H37" s="21">
        <v>18000</v>
      </c>
      <c r="I37" s="21">
        <v>0</v>
      </c>
      <c r="J37" s="34">
        <f>SUM(Seznam_dokladu[[#This Row],[Částka bez DPH]:[DPH]])</f>
        <v>18000</v>
      </c>
      <c r="K37" s="34">
        <v>18000</v>
      </c>
      <c r="L37" s="57"/>
      <c r="M37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7" s="130"/>
    </row>
    <row r="38" spans="1:14" x14ac:dyDescent="0.25">
      <c r="A38" s="32">
        <f t="shared" si="0"/>
        <v>9</v>
      </c>
      <c r="B38" s="24" t="s">
        <v>235</v>
      </c>
      <c r="C38" s="24" t="s">
        <v>2</v>
      </c>
      <c r="D38" s="31" t="s">
        <v>236</v>
      </c>
      <c r="E38" s="24" t="s">
        <v>237</v>
      </c>
      <c r="F38" s="25" t="s">
        <v>146</v>
      </c>
      <c r="G38" s="152">
        <v>44853</v>
      </c>
      <c r="H38" s="21">
        <v>15000</v>
      </c>
      <c r="I38" s="21">
        <v>0</v>
      </c>
      <c r="J38" s="34">
        <f>SUM(Seznam_dokladu[[#This Row],[Částka bez DPH]:[DPH]])</f>
        <v>15000</v>
      </c>
      <c r="K38" s="34">
        <v>15000</v>
      </c>
      <c r="L38" s="57"/>
      <c r="M38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8" s="130"/>
    </row>
    <row r="39" spans="1:14" x14ac:dyDescent="0.25">
      <c r="A39" s="32">
        <f t="shared" si="0"/>
        <v>10</v>
      </c>
      <c r="B39" s="24" t="s">
        <v>238</v>
      </c>
      <c r="C39" s="24" t="s">
        <v>2</v>
      </c>
      <c r="D39" s="31" t="s">
        <v>239</v>
      </c>
      <c r="E39" s="24" t="s">
        <v>240</v>
      </c>
      <c r="F39" s="25" t="s">
        <v>146</v>
      </c>
      <c r="G39" s="152">
        <v>44894</v>
      </c>
      <c r="H39" s="21">
        <v>15000</v>
      </c>
      <c r="I39" s="21">
        <v>0</v>
      </c>
      <c r="J39" s="34">
        <f>SUM(Seznam_dokladu[[#This Row],[Částka bez DPH]:[DPH]])</f>
        <v>15000</v>
      </c>
      <c r="K39" s="34">
        <v>15000</v>
      </c>
      <c r="L39" s="57"/>
      <c r="M39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39" s="130"/>
    </row>
    <row r="40" spans="1:14" x14ac:dyDescent="0.25">
      <c r="A40" s="32">
        <f t="shared" si="0"/>
        <v>11</v>
      </c>
      <c r="B40" s="24" t="s">
        <v>241</v>
      </c>
      <c r="C40" s="24" t="s">
        <v>2</v>
      </c>
      <c r="D40" s="31" t="s">
        <v>242</v>
      </c>
      <c r="E40" s="24" t="s">
        <v>240</v>
      </c>
      <c r="F40" s="25" t="s">
        <v>146</v>
      </c>
      <c r="G40" s="152">
        <v>44911</v>
      </c>
      <c r="H40" s="21">
        <v>15000</v>
      </c>
      <c r="I40" s="21">
        <v>0</v>
      </c>
      <c r="J40" s="34">
        <f>SUM(Seznam_dokladu[[#This Row],[Částka bez DPH]:[DPH]])</f>
        <v>15000</v>
      </c>
      <c r="K40" s="34">
        <v>15000</v>
      </c>
      <c r="L40" s="57"/>
      <c r="M40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0" s="130"/>
    </row>
    <row r="41" spans="1:14" x14ac:dyDescent="0.25">
      <c r="A41" s="32">
        <f t="shared" si="0"/>
        <v>12</v>
      </c>
      <c r="B41" s="24" t="s">
        <v>243</v>
      </c>
      <c r="C41" s="24" t="s">
        <v>2</v>
      </c>
      <c r="D41" s="31" t="s">
        <v>244</v>
      </c>
      <c r="E41" s="24" t="s">
        <v>240</v>
      </c>
      <c r="F41" s="25" t="s">
        <v>146</v>
      </c>
      <c r="G41" s="152">
        <v>44912</v>
      </c>
      <c r="H41" s="21">
        <v>15000</v>
      </c>
      <c r="I41" s="21">
        <v>0</v>
      </c>
      <c r="J41" s="34">
        <f>SUM(Seznam_dokladu[[#This Row],[Částka bez DPH]:[DPH]])</f>
        <v>15000</v>
      </c>
      <c r="K41" s="34">
        <v>15000</v>
      </c>
      <c r="L41" s="57"/>
      <c r="M41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1" s="130"/>
    </row>
    <row r="42" spans="1:14" x14ac:dyDescent="0.25">
      <c r="A42" s="32">
        <f t="shared" si="0"/>
        <v>13</v>
      </c>
      <c r="B42" s="24" t="s">
        <v>245</v>
      </c>
      <c r="C42" s="24" t="s">
        <v>2</v>
      </c>
      <c r="D42" s="31" t="s">
        <v>246</v>
      </c>
      <c r="E42" s="24" t="s">
        <v>247</v>
      </c>
      <c r="F42" s="23" t="s">
        <v>146</v>
      </c>
      <c r="G42" s="151">
        <v>44897</v>
      </c>
      <c r="H42" s="20">
        <v>20000</v>
      </c>
      <c r="I42" s="21">
        <v>0</v>
      </c>
      <c r="J42" s="34">
        <f>SUM(Seznam_dokladu[[#This Row],[Částka bez DPH]:[DPH]])</f>
        <v>20000</v>
      </c>
      <c r="K42" s="34">
        <v>20000</v>
      </c>
      <c r="L42" s="57"/>
      <c r="M42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2" s="130"/>
    </row>
    <row r="43" spans="1:14" x14ac:dyDescent="0.25">
      <c r="A43" s="32">
        <f t="shared" si="0"/>
        <v>14</v>
      </c>
      <c r="B43" s="24" t="s">
        <v>248</v>
      </c>
      <c r="C43" s="24" t="s">
        <v>2</v>
      </c>
      <c r="D43" s="31" t="s">
        <v>249</v>
      </c>
      <c r="E43" s="24" t="s">
        <v>250</v>
      </c>
      <c r="F43" s="25" t="s">
        <v>147</v>
      </c>
      <c r="G43" s="151">
        <v>44783</v>
      </c>
      <c r="H43" s="21">
        <v>5000</v>
      </c>
      <c r="I43" s="21">
        <v>1050</v>
      </c>
      <c r="J43" s="34">
        <f>SUM(Seznam_dokladu[[#This Row],[Částka bez DPH]:[DPH]])</f>
        <v>6050</v>
      </c>
      <c r="K43" s="34">
        <v>5000</v>
      </c>
      <c r="L43" s="57"/>
      <c r="M43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3" s="130"/>
    </row>
    <row r="44" spans="1:14" x14ac:dyDescent="0.25">
      <c r="A44" s="32">
        <f t="shared" si="0"/>
        <v>15</v>
      </c>
      <c r="B44" s="24" t="s">
        <v>251</v>
      </c>
      <c r="C44" s="24" t="s">
        <v>2</v>
      </c>
      <c r="D44" s="31" t="s">
        <v>249</v>
      </c>
      <c r="E44" s="24" t="s">
        <v>252</v>
      </c>
      <c r="F44" s="25" t="s">
        <v>147</v>
      </c>
      <c r="G44" s="151">
        <v>44814</v>
      </c>
      <c r="H44" s="21">
        <v>5000</v>
      </c>
      <c r="I44" s="21">
        <v>1050</v>
      </c>
      <c r="J44" s="34">
        <f>SUM(Seznam_dokladu[[#This Row],[Částka bez DPH]:[DPH]])</f>
        <v>6050</v>
      </c>
      <c r="K44" s="34">
        <v>5000</v>
      </c>
      <c r="L44" s="57"/>
      <c r="M44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4" s="130"/>
    </row>
    <row r="45" spans="1:14" x14ac:dyDescent="0.25">
      <c r="A45" s="32">
        <f t="shared" si="0"/>
        <v>16</v>
      </c>
      <c r="B45" s="24" t="s">
        <v>253</v>
      </c>
      <c r="C45" s="24" t="s">
        <v>2</v>
      </c>
      <c r="D45" s="31" t="s">
        <v>249</v>
      </c>
      <c r="E45" s="24" t="s">
        <v>254</v>
      </c>
      <c r="F45" s="25" t="s">
        <v>147</v>
      </c>
      <c r="G45" s="151">
        <v>44844</v>
      </c>
      <c r="H45" s="21">
        <v>5000</v>
      </c>
      <c r="I45" s="21">
        <v>1050</v>
      </c>
      <c r="J45" s="34">
        <f>SUM(Seznam_dokladu[[#This Row],[Částka bez DPH]:[DPH]])</f>
        <v>6050</v>
      </c>
      <c r="K45" s="34">
        <v>5000</v>
      </c>
      <c r="L45" s="57"/>
      <c r="M45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5" s="130"/>
    </row>
    <row r="46" spans="1:14" x14ac:dyDescent="0.25">
      <c r="A46" s="32">
        <f t="shared" si="0"/>
        <v>17</v>
      </c>
      <c r="B46" s="24" t="s">
        <v>255</v>
      </c>
      <c r="C46" s="24" t="s">
        <v>2</v>
      </c>
      <c r="D46" s="31" t="s">
        <v>249</v>
      </c>
      <c r="E46" s="24" t="s">
        <v>256</v>
      </c>
      <c r="F46" s="25" t="s">
        <v>147</v>
      </c>
      <c r="G46" s="151">
        <v>44875</v>
      </c>
      <c r="H46" s="21">
        <v>5000</v>
      </c>
      <c r="I46" s="21">
        <v>1050</v>
      </c>
      <c r="J46" s="34">
        <f>SUM(Seznam_dokladu[[#This Row],[Částka bez DPH]:[DPH]])</f>
        <v>6050</v>
      </c>
      <c r="K46" s="34">
        <v>5000</v>
      </c>
      <c r="L46" s="57"/>
      <c r="M46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6" s="130"/>
    </row>
    <row r="47" spans="1:14" x14ac:dyDescent="0.25">
      <c r="A47" s="32">
        <f t="shared" si="0"/>
        <v>18</v>
      </c>
      <c r="B47" s="24" t="s">
        <v>257</v>
      </c>
      <c r="C47" s="24" t="s">
        <v>2</v>
      </c>
      <c r="D47" s="31" t="s">
        <v>258</v>
      </c>
      <c r="E47" s="24" t="s">
        <v>259</v>
      </c>
      <c r="F47" s="25" t="s">
        <v>147</v>
      </c>
      <c r="G47" s="151">
        <v>44785</v>
      </c>
      <c r="H47" s="21">
        <v>12000</v>
      </c>
      <c r="I47" s="21">
        <v>2520</v>
      </c>
      <c r="J47" s="34">
        <f>SUM(Seznam_dokladu[[#This Row],[Částka bez DPH]:[DPH]])</f>
        <v>14520</v>
      </c>
      <c r="K47" s="34">
        <v>11480</v>
      </c>
      <c r="L47" s="57"/>
      <c r="M47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7" s="130"/>
    </row>
    <row r="48" spans="1:14" x14ac:dyDescent="0.25">
      <c r="A48" s="32">
        <f t="shared" si="0"/>
        <v>19</v>
      </c>
      <c r="B48" s="24" t="s">
        <v>320</v>
      </c>
      <c r="C48" s="24" t="s">
        <v>260</v>
      </c>
      <c r="D48" s="31" t="s">
        <v>261</v>
      </c>
      <c r="E48" s="24" t="s">
        <v>262</v>
      </c>
      <c r="F48" s="25" t="s">
        <v>148</v>
      </c>
      <c r="G48" s="152">
        <v>44781</v>
      </c>
      <c r="H48" s="21">
        <v>5000</v>
      </c>
      <c r="I48" s="21">
        <v>1050</v>
      </c>
      <c r="J48" s="34">
        <f>SUM(Seznam_dokladu[[#This Row],[Částka bez DPH]:[DPH]])</f>
        <v>6050</v>
      </c>
      <c r="K48" s="34">
        <v>3950</v>
      </c>
      <c r="L48" s="57"/>
      <c r="M48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8" s="130"/>
    </row>
    <row r="49" spans="1:14" x14ac:dyDescent="0.25">
      <c r="A49" s="32">
        <f t="shared" si="0"/>
        <v>20</v>
      </c>
      <c r="B49" s="24"/>
      <c r="C49" s="24" t="s">
        <v>325</v>
      </c>
      <c r="D49" s="31" t="s">
        <v>263</v>
      </c>
      <c r="E49" s="24" t="s">
        <v>264</v>
      </c>
      <c r="F49" s="25" t="s">
        <v>149</v>
      </c>
      <c r="G49" s="152">
        <v>44846</v>
      </c>
      <c r="H49" s="21">
        <v>10000</v>
      </c>
      <c r="I49" s="21">
        <v>0</v>
      </c>
      <c r="J49" s="34">
        <f>SUM(Seznam_dokladu[[#This Row],[Částka bez DPH]:[DPH]])</f>
        <v>10000</v>
      </c>
      <c r="K49" s="34">
        <v>10000</v>
      </c>
      <c r="L49" s="57"/>
      <c r="M49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49" s="130"/>
    </row>
    <row r="50" spans="1:14" x14ac:dyDescent="0.25">
      <c r="A50" s="32">
        <f t="shared" si="0"/>
        <v>21</v>
      </c>
      <c r="B50" s="24"/>
      <c r="C50" s="24" t="s">
        <v>325</v>
      </c>
      <c r="D50" s="31" t="s">
        <v>265</v>
      </c>
      <c r="E50" s="24" t="s">
        <v>266</v>
      </c>
      <c r="F50" s="25" t="s">
        <v>149</v>
      </c>
      <c r="G50" s="152">
        <v>44847</v>
      </c>
      <c r="H50" s="21">
        <v>900</v>
      </c>
      <c r="I50" s="21">
        <v>0</v>
      </c>
      <c r="J50" s="34">
        <f>SUM(Seznam_dokladu[[#This Row],[Částka bez DPH]:[DPH]])</f>
        <v>900</v>
      </c>
      <c r="K50" s="34">
        <v>900</v>
      </c>
      <c r="L50" s="57"/>
      <c r="M50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0" s="130"/>
    </row>
    <row r="51" spans="1:14" x14ac:dyDescent="0.25">
      <c r="A51" s="32">
        <f t="shared" si="0"/>
        <v>22</v>
      </c>
      <c r="B51" s="24"/>
      <c r="C51" s="24" t="s">
        <v>325</v>
      </c>
      <c r="D51" s="31" t="s">
        <v>267</v>
      </c>
      <c r="E51" s="24" t="s">
        <v>296</v>
      </c>
      <c r="F51" s="25" t="s">
        <v>149</v>
      </c>
      <c r="G51" s="152">
        <v>44847</v>
      </c>
      <c r="H51" s="21">
        <v>2480</v>
      </c>
      <c r="I51" s="21">
        <v>0</v>
      </c>
      <c r="J51" s="34">
        <f>SUM(Seznam_dokladu[[#This Row],[Částka bez DPH]:[DPH]])</f>
        <v>2480</v>
      </c>
      <c r="K51" s="34">
        <v>2480</v>
      </c>
      <c r="L51" s="57"/>
      <c r="M51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1" s="130"/>
    </row>
    <row r="52" spans="1:14" x14ac:dyDescent="0.25">
      <c r="A52" s="32">
        <f t="shared" si="0"/>
        <v>23</v>
      </c>
      <c r="B52" s="24"/>
      <c r="C52" s="24" t="s">
        <v>325</v>
      </c>
      <c r="D52" s="31" t="s">
        <v>263</v>
      </c>
      <c r="E52" s="24" t="s">
        <v>297</v>
      </c>
      <c r="F52" s="25" t="s">
        <v>149</v>
      </c>
      <c r="G52" s="152">
        <v>44877</v>
      </c>
      <c r="H52" s="21">
        <v>10000</v>
      </c>
      <c r="I52" s="21">
        <v>0</v>
      </c>
      <c r="J52" s="34">
        <f>SUM(Seznam_dokladu[[#This Row],[Částka bez DPH]:[DPH]])</f>
        <v>10000</v>
      </c>
      <c r="K52" s="34">
        <v>10000</v>
      </c>
      <c r="L52" s="57"/>
      <c r="M52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2" s="130"/>
    </row>
    <row r="53" spans="1:14" x14ac:dyDescent="0.25">
      <c r="A53" s="32">
        <f t="shared" si="0"/>
        <v>24</v>
      </c>
      <c r="B53" s="24"/>
      <c r="C53" s="24" t="s">
        <v>325</v>
      </c>
      <c r="D53" s="31" t="s">
        <v>265</v>
      </c>
      <c r="E53" s="24" t="s">
        <v>298</v>
      </c>
      <c r="F53" s="25" t="s">
        <v>149</v>
      </c>
      <c r="G53" s="152">
        <v>44878</v>
      </c>
      <c r="H53" s="21">
        <v>900</v>
      </c>
      <c r="I53" s="21">
        <v>0</v>
      </c>
      <c r="J53" s="34">
        <f>SUM(Seznam_dokladu[[#This Row],[Částka bez DPH]:[DPH]])</f>
        <v>900</v>
      </c>
      <c r="K53" s="34">
        <v>900</v>
      </c>
      <c r="L53" s="57"/>
      <c r="M53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3" s="130"/>
    </row>
    <row r="54" spans="1:14" x14ac:dyDescent="0.25">
      <c r="A54" s="32">
        <f t="shared" si="0"/>
        <v>25</v>
      </c>
      <c r="B54" s="24"/>
      <c r="C54" s="24" t="s">
        <v>325</v>
      </c>
      <c r="D54" s="31" t="s">
        <v>267</v>
      </c>
      <c r="E54" s="24" t="s">
        <v>301</v>
      </c>
      <c r="F54" s="25" t="s">
        <v>149</v>
      </c>
      <c r="G54" s="152">
        <v>44878</v>
      </c>
      <c r="H54" s="21">
        <v>2480</v>
      </c>
      <c r="I54" s="21">
        <v>0</v>
      </c>
      <c r="J54" s="34">
        <f>SUM(Seznam_dokladu[[#This Row],[Částka bez DPH]:[DPH]])</f>
        <v>2480</v>
      </c>
      <c r="K54" s="34">
        <v>2480</v>
      </c>
      <c r="L54" s="57"/>
      <c r="M54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4" s="130"/>
    </row>
    <row r="55" spans="1:14" x14ac:dyDescent="0.25">
      <c r="A55" s="32">
        <f t="shared" si="0"/>
        <v>26</v>
      </c>
      <c r="B55" s="24"/>
      <c r="C55" s="24" t="s">
        <v>325</v>
      </c>
      <c r="D55" s="31" t="s">
        <v>263</v>
      </c>
      <c r="E55" s="24" t="s">
        <v>299</v>
      </c>
      <c r="F55" s="25" t="s">
        <v>149</v>
      </c>
      <c r="G55" s="152">
        <v>44907</v>
      </c>
      <c r="H55" s="21">
        <v>10000</v>
      </c>
      <c r="I55" s="21">
        <v>0</v>
      </c>
      <c r="J55" s="34">
        <f>SUM(Seznam_dokladu[[#This Row],[Částka bez DPH]:[DPH]])</f>
        <v>10000</v>
      </c>
      <c r="K55" s="34">
        <v>10000</v>
      </c>
      <c r="L55" s="57"/>
      <c r="M55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5" s="130"/>
    </row>
    <row r="56" spans="1:14" x14ac:dyDescent="0.25">
      <c r="A56" s="32">
        <f t="shared" si="0"/>
        <v>27</v>
      </c>
      <c r="B56" s="24"/>
      <c r="C56" s="24" t="s">
        <v>325</v>
      </c>
      <c r="D56" s="31" t="s">
        <v>265</v>
      </c>
      <c r="E56" s="24" t="s">
        <v>300</v>
      </c>
      <c r="F56" s="25" t="s">
        <v>149</v>
      </c>
      <c r="G56" s="152">
        <v>44908</v>
      </c>
      <c r="H56" s="21">
        <v>900</v>
      </c>
      <c r="I56" s="21">
        <v>0</v>
      </c>
      <c r="J56" s="34">
        <f>SUM(Seznam_dokladu[[#This Row],[Částka bez DPH]:[DPH]])</f>
        <v>900</v>
      </c>
      <c r="K56" s="34">
        <v>900</v>
      </c>
      <c r="L56" s="57"/>
      <c r="M56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6" s="130"/>
    </row>
    <row r="57" spans="1:14" x14ac:dyDescent="0.25">
      <c r="A57" s="32">
        <f t="shared" si="0"/>
        <v>28</v>
      </c>
      <c r="B57" s="24"/>
      <c r="C57" s="24" t="s">
        <v>325</v>
      </c>
      <c r="D57" s="31" t="s">
        <v>267</v>
      </c>
      <c r="E57" s="24" t="s">
        <v>318</v>
      </c>
      <c r="F57" s="25" t="s">
        <v>149</v>
      </c>
      <c r="G57" s="152">
        <v>44908</v>
      </c>
      <c r="H57" s="21">
        <v>2480</v>
      </c>
      <c r="I57" s="21">
        <v>0</v>
      </c>
      <c r="J57" s="34">
        <f>SUM(Seznam_dokladu[[#This Row],[Částka bez DPH]:[DPH]])</f>
        <v>2480</v>
      </c>
      <c r="K57" s="34">
        <v>2480</v>
      </c>
      <c r="L57" s="57"/>
      <c r="M57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7" s="130"/>
    </row>
    <row r="58" spans="1:14" x14ac:dyDescent="0.25">
      <c r="A58" s="32">
        <f t="shared" si="0"/>
        <v>29</v>
      </c>
      <c r="B58" s="24"/>
      <c r="C58" s="24" t="s">
        <v>325</v>
      </c>
      <c r="D58" s="31" t="s">
        <v>263</v>
      </c>
      <c r="E58" s="24" t="s">
        <v>302</v>
      </c>
      <c r="F58" s="25" t="s">
        <v>149</v>
      </c>
      <c r="G58" s="152">
        <v>44938</v>
      </c>
      <c r="H58" s="21">
        <v>10000</v>
      </c>
      <c r="I58" s="21">
        <v>0</v>
      </c>
      <c r="J58" s="34">
        <f>SUM(Seznam_dokladu[[#This Row],[Částka bez DPH]:[DPH]])</f>
        <v>10000</v>
      </c>
      <c r="K58" s="34">
        <v>10000</v>
      </c>
      <c r="L58" s="57"/>
      <c r="M58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8" s="130"/>
    </row>
    <row r="59" spans="1:14" x14ac:dyDescent="0.25">
      <c r="A59" s="32">
        <f t="shared" si="0"/>
        <v>30</v>
      </c>
      <c r="B59" s="24"/>
      <c r="C59" s="24" t="s">
        <v>325</v>
      </c>
      <c r="D59" s="31" t="s">
        <v>265</v>
      </c>
      <c r="E59" s="24" t="s">
        <v>303</v>
      </c>
      <c r="F59" s="25" t="s">
        <v>149</v>
      </c>
      <c r="G59" s="152">
        <v>44939</v>
      </c>
      <c r="H59" s="21">
        <v>900</v>
      </c>
      <c r="I59" s="21"/>
      <c r="J59" s="34">
        <f>SUM(Seznam_dokladu[[#This Row],[Částka bez DPH]:[DPH]])</f>
        <v>900</v>
      </c>
      <c r="K59" s="34">
        <v>900</v>
      </c>
      <c r="L59" s="57"/>
      <c r="M59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59" s="130"/>
    </row>
    <row r="60" spans="1:14" x14ac:dyDescent="0.25">
      <c r="A60" s="32">
        <f t="shared" si="0"/>
        <v>31</v>
      </c>
      <c r="B60" s="24"/>
      <c r="C60" s="24" t="s">
        <v>325</v>
      </c>
      <c r="D60" s="31" t="s">
        <v>267</v>
      </c>
      <c r="E60" s="24" t="s">
        <v>304</v>
      </c>
      <c r="F60" s="25" t="s">
        <v>149</v>
      </c>
      <c r="G60" s="152">
        <v>44939</v>
      </c>
      <c r="H60" s="21">
        <v>2480</v>
      </c>
      <c r="I60" s="21"/>
      <c r="J60" s="34">
        <f>SUM(Seznam_dokladu[[#This Row],[Částka bez DPH]:[DPH]])</f>
        <v>2480</v>
      </c>
      <c r="K60" s="34">
        <v>2480</v>
      </c>
      <c r="L60" s="57"/>
      <c r="M60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0" s="130"/>
    </row>
    <row r="61" spans="1:14" x14ac:dyDescent="0.25">
      <c r="A61" s="32">
        <f t="shared" si="0"/>
        <v>32</v>
      </c>
      <c r="B61" s="24" t="s">
        <v>268</v>
      </c>
      <c r="C61" s="24" t="s">
        <v>2</v>
      </c>
      <c r="D61" s="31" t="s">
        <v>219</v>
      </c>
      <c r="E61" s="24" t="s">
        <v>223</v>
      </c>
      <c r="F61" s="25" t="s">
        <v>146</v>
      </c>
      <c r="G61" s="152">
        <v>45017</v>
      </c>
      <c r="H61" s="21">
        <v>18000</v>
      </c>
      <c r="I61" s="21">
        <v>3780</v>
      </c>
      <c r="J61" s="34">
        <f>SUM(Seznam_dokladu[[#This Row],[Částka bez DPH]:[DPH]])</f>
        <v>21780</v>
      </c>
      <c r="K61" s="34"/>
      <c r="L61" s="57">
        <v>18000</v>
      </c>
      <c r="M61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1" s="130"/>
    </row>
    <row r="62" spans="1:14" x14ac:dyDescent="0.25">
      <c r="A62" s="32">
        <f t="shared" si="0"/>
        <v>33</v>
      </c>
      <c r="B62" s="24" t="s">
        <v>269</v>
      </c>
      <c r="C62" s="24" t="s">
        <v>2</v>
      </c>
      <c r="D62" s="31" t="s">
        <v>219</v>
      </c>
      <c r="E62" s="24" t="s">
        <v>270</v>
      </c>
      <c r="F62" s="25" t="s">
        <v>146</v>
      </c>
      <c r="G62" s="152">
        <v>45106</v>
      </c>
      <c r="H62" s="21">
        <v>15000</v>
      </c>
      <c r="I62" s="21">
        <v>3150</v>
      </c>
      <c r="J62" s="34">
        <f>SUM(Seznam_dokladu[[#This Row],[Částka bez DPH]:[DPH]])</f>
        <v>18150</v>
      </c>
      <c r="K62" s="34"/>
      <c r="L62" s="57">
        <v>15000</v>
      </c>
      <c r="M62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2" s="130"/>
    </row>
    <row r="63" spans="1:14" x14ac:dyDescent="0.25">
      <c r="A63" s="32">
        <f t="shared" si="0"/>
        <v>34</v>
      </c>
      <c r="B63" s="24" t="s">
        <v>268</v>
      </c>
      <c r="C63" s="24" t="s">
        <v>2</v>
      </c>
      <c r="D63" s="31" t="s">
        <v>219</v>
      </c>
      <c r="E63" s="24" t="s">
        <v>223</v>
      </c>
      <c r="F63" s="25" t="s">
        <v>146</v>
      </c>
      <c r="G63" s="152">
        <v>45017</v>
      </c>
      <c r="H63" s="21">
        <v>18000</v>
      </c>
      <c r="I63" s="21">
        <v>0</v>
      </c>
      <c r="J63" s="34">
        <f>SUM(Seznam_dokladu[[#This Row],[Částka bez DPH]:[DPH]])</f>
        <v>18000</v>
      </c>
      <c r="K63" s="34"/>
      <c r="L63" s="57">
        <v>18000</v>
      </c>
      <c r="M63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3" s="130"/>
    </row>
    <row r="64" spans="1:14" x14ac:dyDescent="0.25">
      <c r="A64" s="32">
        <f t="shared" si="0"/>
        <v>35</v>
      </c>
      <c r="B64" s="24" t="s">
        <v>269</v>
      </c>
      <c r="C64" s="24" t="s">
        <v>2</v>
      </c>
      <c r="D64" s="31" t="s">
        <v>219</v>
      </c>
      <c r="E64" s="24" t="s">
        <v>270</v>
      </c>
      <c r="F64" s="25" t="s">
        <v>146</v>
      </c>
      <c r="G64" s="152">
        <v>45106</v>
      </c>
      <c r="H64" s="21">
        <v>15000</v>
      </c>
      <c r="I64" s="21">
        <v>0</v>
      </c>
      <c r="J64" s="34">
        <f>SUM(Seznam_dokladu[[#This Row],[Částka bez DPH]:[DPH]])</f>
        <v>15000</v>
      </c>
      <c r="K64" s="34"/>
      <c r="L64" s="57">
        <v>15000</v>
      </c>
      <c r="M64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4" s="130"/>
    </row>
    <row r="65" spans="1:14" x14ac:dyDescent="0.25">
      <c r="A65" s="32">
        <f t="shared" si="0"/>
        <v>36</v>
      </c>
      <c r="B65" s="24" t="s">
        <v>271</v>
      </c>
      <c r="C65" s="24" t="s">
        <v>226</v>
      </c>
      <c r="D65" s="31" t="s">
        <v>227</v>
      </c>
      <c r="E65" s="24" t="s">
        <v>272</v>
      </c>
      <c r="F65" s="25" t="s">
        <v>146</v>
      </c>
      <c r="G65" s="152">
        <v>44969</v>
      </c>
      <c r="H65" s="21">
        <v>12000</v>
      </c>
      <c r="I65" s="21">
        <v>0</v>
      </c>
      <c r="J65" s="34">
        <f>SUM(Seznam_dokladu[[#This Row],[Částka bez DPH]:[DPH]])</f>
        <v>12000</v>
      </c>
      <c r="K65" s="34"/>
      <c r="L65" s="57">
        <v>12000</v>
      </c>
      <c r="M65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5" s="130"/>
    </row>
    <row r="66" spans="1:14" x14ac:dyDescent="0.25">
      <c r="A66" s="32">
        <f t="shared" si="0"/>
        <v>37</v>
      </c>
      <c r="B66" s="24" t="s">
        <v>271</v>
      </c>
      <c r="C66" s="24" t="s">
        <v>226</v>
      </c>
      <c r="D66" s="31" t="s">
        <v>227</v>
      </c>
      <c r="E66" s="24" t="s">
        <v>273</v>
      </c>
      <c r="F66" s="25" t="s">
        <v>146</v>
      </c>
      <c r="G66" s="152">
        <v>44997</v>
      </c>
      <c r="H66" s="21">
        <v>12000</v>
      </c>
      <c r="I66" s="21">
        <v>0</v>
      </c>
      <c r="J66" s="34">
        <f>SUM(Seznam_dokladu[[#This Row],[Částka bez DPH]:[DPH]])</f>
        <v>12000</v>
      </c>
      <c r="K66" s="34"/>
      <c r="L66" s="57">
        <v>12000</v>
      </c>
      <c r="M66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6" s="130"/>
    </row>
    <row r="67" spans="1:14" x14ac:dyDescent="0.25">
      <c r="A67" s="32">
        <f t="shared" si="0"/>
        <v>38</v>
      </c>
      <c r="B67" s="24" t="s">
        <v>271</v>
      </c>
      <c r="C67" s="24" t="s">
        <v>226</v>
      </c>
      <c r="D67" s="31" t="s">
        <v>227</v>
      </c>
      <c r="E67" s="24" t="s">
        <v>274</v>
      </c>
      <c r="F67" s="25" t="s">
        <v>146</v>
      </c>
      <c r="G67" s="152">
        <v>45028</v>
      </c>
      <c r="H67" s="21">
        <v>9000</v>
      </c>
      <c r="I67" s="21">
        <v>0</v>
      </c>
      <c r="J67" s="34">
        <f>SUM(Seznam_dokladu[[#This Row],[Částka bez DPH]:[DPH]])</f>
        <v>9000</v>
      </c>
      <c r="K67" s="34"/>
      <c r="L67" s="57">
        <v>9000</v>
      </c>
      <c r="M67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7" s="130"/>
    </row>
    <row r="68" spans="1:14" x14ac:dyDescent="0.25">
      <c r="A68" s="32">
        <f t="shared" si="0"/>
        <v>39</v>
      </c>
      <c r="B68" s="24" t="s">
        <v>275</v>
      </c>
      <c r="C68" s="24" t="s">
        <v>232</v>
      </c>
      <c r="D68" s="31" t="s">
        <v>233</v>
      </c>
      <c r="E68" s="24" t="s">
        <v>276</v>
      </c>
      <c r="F68" s="25" t="s">
        <v>146</v>
      </c>
      <c r="G68" s="152">
        <v>45058</v>
      </c>
      <c r="H68" s="21">
        <v>12000</v>
      </c>
      <c r="I68" s="21">
        <v>0</v>
      </c>
      <c r="J68" s="34">
        <f>SUM(Seznam_dokladu[[#This Row],[Částka bez DPH]:[DPH]])</f>
        <v>12000</v>
      </c>
      <c r="K68" s="34"/>
      <c r="L68" s="57">
        <v>12000</v>
      </c>
      <c r="M68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8" s="130"/>
    </row>
    <row r="69" spans="1:14" x14ac:dyDescent="0.25">
      <c r="A69" s="32">
        <f t="shared" si="0"/>
        <v>40</v>
      </c>
      <c r="B69" s="24" t="s">
        <v>275</v>
      </c>
      <c r="C69" s="24" t="s">
        <v>232</v>
      </c>
      <c r="D69" s="31" t="s">
        <v>233</v>
      </c>
      <c r="E69" s="24" t="s">
        <v>277</v>
      </c>
      <c r="F69" s="25" t="s">
        <v>146</v>
      </c>
      <c r="G69" s="152">
        <v>45089</v>
      </c>
      <c r="H69" s="21">
        <v>12000</v>
      </c>
      <c r="I69" s="21">
        <v>0</v>
      </c>
      <c r="J69" s="34">
        <f>SUM(Seznam_dokladu[[#This Row],[Částka bez DPH]:[DPH]])</f>
        <v>12000</v>
      </c>
      <c r="K69" s="34"/>
      <c r="L69" s="57">
        <v>12000</v>
      </c>
      <c r="M69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69" s="130"/>
    </row>
    <row r="70" spans="1:14" x14ac:dyDescent="0.25">
      <c r="A70" s="32">
        <f t="shared" si="0"/>
        <v>41</v>
      </c>
      <c r="B70" s="24" t="s">
        <v>275</v>
      </c>
      <c r="C70" s="24" t="s">
        <v>232</v>
      </c>
      <c r="D70" s="31" t="s">
        <v>233</v>
      </c>
      <c r="E70" s="24" t="s">
        <v>277</v>
      </c>
      <c r="F70" s="25" t="s">
        <v>146</v>
      </c>
      <c r="G70" s="152">
        <v>45119</v>
      </c>
      <c r="H70" s="21">
        <v>9000</v>
      </c>
      <c r="I70" s="21">
        <v>0</v>
      </c>
      <c r="J70" s="34">
        <f>SUM(Seznam_dokladu[[#This Row],[Částka bez DPH]:[DPH]])</f>
        <v>9000</v>
      </c>
      <c r="K70" s="34"/>
      <c r="L70" s="57">
        <v>9000</v>
      </c>
      <c r="M70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0" s="130"/>
    </row>
    <row r="71" spans="1:14" x14ac:dyDescent="0.25">
      <c r="A71" s="32">
        <f t="shared" si="0"/>
        <v>42</v>
      </c>
      <c r="B71" s="24" t="s">
        <v>285</v>
      </c>
      <c r="C71" s="24" t="s">
        <v>2</v>
      </c>
      <c r="D71" s="31" t="s">
        <v>236</v>
      </c>
      <c r="E71" s="24" t="s">
        <v>278</v>
      </c>
      <c r="F71" s="25" t="s">
        <v>146</v>
      </c>
      <c r="G71" s="152">
        <v>45058</v>
      </c>
      <c r="H71" s="21">
        <v>33000</v>
      </c>
      <c r="I71" s="21">
        <v>0</v>
      </c>
      <c r="J71" s="34">
        <f>SUM(Seznam_dokladu[[#This Row],[Částka bez DPH]:[DPH]])</f>
        <v>33000</v>
      </c>
      <c r="K71" s="34"/>
      <c r="L71" s="57">
        <v>33000</v>
      </c>
      <c r="M71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1" s="130"/>
    </row>
    <row r="72" spans="1:14" x14ac:dyDescent="0.25">
      <c r="A72" s="32">
        <f t="shared" si="0"/>
        <v>43</v>
      </c>
      <c r="B72" s="24" t="s">
        <v>286</v>
      </c>
      <c r="C72" s="24" t="s">
        <v>2</v>
      </c>
      <c r="D72" s="31" t="s">
        <v>239</v>
      </c>
      <c r="E72" s="24" t="s">
        <v>279</v>
      </c>
      <c r="F72" s="25" t="s">
        <v>146</v>
      </c>
      <c r="G72" s="152">
        <v>44990</v>
      </c>
      <c r="H72" s="21">
        <v>33000</v>
      </c>
      <c r="I72" s="21">
        <v>0</v>
      </c>
      <c r="J72" s="34">
        <f>SUM(Seznam_dokladu[[#This Row],[Částka bez DPH]:[DPH]])</f>
        <v>33000</v>
      </c>
      <c r="K72" s="34"/>
      <c r="L72" s="57">
        <v>33000</v>
      </c>
      <c r="M72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2" s="130"/>
    </row>
    <row r="73" spans="1:14" x14ac:dyDescent="0.25">
      <c r="A73" s="32">
        <f t="shared" si="0"/>
        <v>44</v>
      </c>
      <c r="B73" s="24" t="s">
        <v>287</v>
      </c>
      <c r="C73" s="24" t="s">
        <v>2</v>
      </c>
      <c r="D73" s="31" t="s">
        <v>242</v>
      </c>
      <c r="E73" s="24" t="s">
        <v>279</v>
      </c>
      <c r="F73" s="25" t="s">
        <v>146</v>
      </c>
      <c r="G73" s="152">
        <v>45084</v>
      </c>
      <c r="H73" s="21">
        <v>33000</v>
      </c>
      <c r="I73" s="21">
        <v>0</v>
      </c>
      <c r="J73" s="34">
        <f>SUM(Seznam_dokladu[[#This Row],[Částka bez DPH]:[DPH]])</f>
        <v>33000</v>
      </c>
      <c r="K73" s="34"/>
      <c r="L73" s="57">
        <v>33000</v>
      </c>
      <c r="M73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3" s="130"/>
    </row>
    <row r="74" spans="1:14" x14ac:dyDescent="0.25">
      <c r="A74" s="32">
        <f t="shared" si="0"/>
        <v>45</v>
      </c>
      <c r="B74" s="24" t="s">
        <v>288</v>
      </c>
      <c r="C74" s="24" t="s">
        <v>2</v>
      </c>
      <c r="D74" s="31" t="s">
        <v>244</v>
      </c>
      <c r="E74" s="24" t="s">
        <v>279</v>
      </c>
      <c r="F74" s="25" t="s">
        <v>146</v>
      </c>
      <c r="G74" s="152">
        <v>45105</v>
      </c>
      <c r="H74" s="21">
        <v>33000</v>
      </c>
      <c r="I74" s="21">
        <v>0</v>
      </c>
      <c r="J74" s="34">
        <f>SUM(Seznam_dokladu[[#This Row],[Částka bez DPH]:[DPH]])</f>
        <v>33000</v>
      </c>
      <c r="K74" s="34"/>
      <c r="L74" s="57">
        <v>33000</v>
      </c>
      <c r="M74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4" s="130"/>
    </row>
    <row r="75" spans="1:14" x14ac:dyDescent="0.25">
      <c r="A75" s="32">
        <f t="shared" si="0"/>
        <v>46</v>
      </c>
      <c r="B75" s="24" t="s">
        <v>289</v>
      </c>
      <c r="C75" s="24" t="s">
        <v>2</v>
      </c>
      <c r="D75" s="31" t="s">
        <v>246</v>
      </c>
      <c r="E75" s="24" t="s">
        <v>247</v>
      </c>
      <c r="F75" s="25" t="s">
        <v>146</v>
      </c>
      <c r="G75" s="152">
        <v>45021</v>
      </c>
      <c r="H75" s="21">
        <v>20000</v>
      </c>
      <c r="I75" s="21">
        <v>0</v>
      </c>
      <c r="J75" s="34">
        <f>SUM(Seznam_dokladu[[#This Row],[Částka bez DPH]:[DPH]])</f>
        <v>20000</v>
      </c>
      <c r="K75" s="34"/>
      <c r="L75" s="57">
        <v>20000</v>
      </c>
      <c r="M75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5" s="130"/>
    </row>
    <row r="76" spans="1:14" x14ac:dyDescent="0.25">
      <c r="A76" s="32">
        <f t="shared" si="0"/>
        <v>47</v>
      </c>
      <c r="B76" s="24" t="s">
        <v>290</v>
      </c>
      <c r="C76" s="24" t="s">
        <v>2</v>
      </c>
      <c r="D76" s="31" t="s">
        <v>249</v>
      </c>
      <c r="E76" s="24" t="s">
        <v>280</v>
      </c>
      <c r="F76" s="25" t="s">
        <v>147</v>
      </c>
      <c r="G76" s="152">
        <v>44941</v>
      </c>
      <c r="H76" s="21">
        <v>5000</v>
      </c>
      <c r="I76" s="21">
        <v>1050</v>
      </c>
      <c r="J76" s="34">
        <f>SUM(Seznam_dokladu[[#This Row],[Částka bez DPH]:[DPH]])</f>
        <v>6050</v>
      </c>
      <c r="K76" s="34"/>
      <c r="L76" s="57">
        <v>1000</v>
      </c>
      <c r="M76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6" s="130"/>
    </row>
    <row r="77" spans="1:14" x14ac:dyDescent="0.25">
      <c r="A77" s="32">
        <f t="shared" si="0"/>
        <v>48</v>
      </c>
      <c r="B77" s="24" t="s">
        <v>291</v>
      </c>
      <c r="C77" s="24" t="s">
        <v>2</v>
      </c>
      <c r="D77" s="31" t="s">
        <v>249</v>
      </c>
      <c r="E77" s="24" t="s">
        <v>281</v>
      </c>
      <c r="F77" s="25" t="s">
        <v>147</v>
      </c>
      <c r="G77" s="152">
        <v>44972</v>
      </c>
      <c r="H77" s="21">
        <v>5000</v>
      </c>
      <c r="I77" s="21">
        <v>1050</v>
      </c>
      <c r="J77" s="34">
        <f>SUM(Seznam_dokladu[[#This Row],[Částka bez DPH]:[DPH]])</f>
        <v>6050</v>
      </c>
      <c r="K77" s="34"/>
      <c r="L77" s="57">
        <v>5000</v>
      </c>
      <c r="M77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7" s="130"/>
    </row>
    <row r="78" spans="1:14" x14ac:dyDescent="0.25">
      <c r="A78" s="32">
        <f t="shared" si="0"/>
        <v>49</v>
      </c>
      <c r="B78" s="24" t="s">
        <v>292</v>
      </c>
      <c r="C78" s="24" t="s">
        <v>2</v>
      </c>
      <c r="D78" s="31" t="s">
        <v>249</v>
      </c>
      <c r="E78" s="24" t="s">
        <v>282</v>
      </c>
      <c r="F78" s="25" t="s">
        <v>147</v>
      </c>
      <c r="G78" s="152">
        <v>45000</v>
      </c>
      <c r="H78" s="21">
        <v>5000</v>
      </c>
      <c r="I78" s="21">
        <v>1050</v>
      </c>
      <c r="J78" s="34">
        <f>SUM(Seznam_dokladu[[#This Row],[Částka bez DPH]:[DPH]])</f>
        <v>6050</v>
      </c>
      <c r="K78" s="34"/>
      <c r="L78" s="57">
        <v>5000</v>
      </c>
      <c r="M78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8" s="130"/>
    </row>
    <row r="79" spans="1:14" x14ac:dyDescent="0.25">
      <c r="A79" s="32">
        <f t="shared" si="0"/>
        <v>50</v>
      </c>
      <c r="B79" s="24" t="s">
        <v>293</v>
      </c>
      <c r="C79" s="24" t="s">
        <v>2</v>
      </c>
      <c r="D79" s="31" t="s">
        <v>249</v>
      </c>
      <c r="E79" s="24" t="s">
        <v>283</v>
      </c>
      <c r="F79" s="25" t="s">
        <v>147</v>
      </c>
      <c r="G79" s="152">
        <v>45031</v>
      </c>
      <c r="H79" s="21">
        <v>5000</v>
      </c>
      <c r="I79" s="21">
        <v>1050</v>
      </c>
      <c r="J79" s="34">
        <f>SUM(Seznam_dokladu[[#This Row],[Částka bez DPH]:[DPH]])</f>
        <v>6050</v>
      </c>
      <c r="K79" s="34"/>
      <c r="L79" s="57">
        <v>5000</v>
      </c>
      <c r="M79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79" s="130"/>
    </row>
    <row r="80" spans="1:14" x14ac:dyDescent="0.25">
      <c r="A80" s="32">
        <f t="shared" si="0"/>
        <v>51</v>
      </c>
      <c r="B80" s="24" t="s">
        <v>294</v>
      </c>
      <c r="C80" s="24" t="s">
        <v>2</v>
      </c>
      <c r="D80" s="31" t="s">
        <v>249</v>
      </c>
      <c r="E80" s="24" t="s">
        <v>284</v>
      </c>
      <c r="F80" s="25" t="s">
        <v>147</v>
      </c>
      <c r="G80" s="152">
        <v>45061</v>
      </c>
      <c r="H80" s="21">
        <v>5000</v>
      </c>
      <c r="I80" s="21">
        <v>1050</v>
      </c>
      <c r="J80" s="34">
        <f>SUM(Seznam_dokladu[[#This Row],[Částka bez DPH]:[DPH]])</f>
        <v>6050</v>
      </c>
      <c r="K80" s="34"/>
      <c r="L80" s="57">
        <v>5000</v>
      </c>
      <c r="M80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0" s="130"/>
    </row>
    <row r="81" spans="1:14" x14ac:dyDescent="0.25">
      <c r="A81" s="32">
        <f t="shared" si="0"/>
        <v>52</v>
      </c>
      <c r="B81" s="24" t="s">
        <v>319</v>
      </c>
      <c r="C81" s="24" t="s">
        <v>260</v>
      </c>
      <c r="D81" s="31" t="s">
        <v>261</v>
      </c>
      <c r="E81" s="24" t="s">
        <v>262</v>
      </c>
      <c r="F81" s="25" t="s">
        <v>148</v>
      </c>
      <c r="G81" s="152">
        <v>44962</v>
      </c>
      <c r="H81" s="21">
        <v>5000</v>
      </c>
      <c r="I81" s="21">
        <v>1050</v>
      </c>
      <c r="J81" s="34">
        <f>SUM(Seznam_dokladu[[#This Row],[Částka bez DPH]:[DPH]])</f>
        <v>6050</v>
      </c>
      <c r="K81" s="34"/>
      <c r="L81" s="57">
        <v>5000</v>
      </c>
      <c r="M81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1" s="130"/>
    </row>
    <row r="82" spans="1:14" x14ac:dyDescent="0.25">
      <c r="A82" s="32">
        <f t="shared" si="0"/>
        <v>53</v>
      </c>
      <c r="B82" s="24"/>
      <c r="C82" s="24" t="s">
        <v>325</v>
      </c>
      <c r="D82" s="31" t="s">
        <v>263</v>
      </c>
      <c r="E82" s="24" t="s">
        <v>305</v>
      </c>
      <c r="F82" s="25" t="s">
        <v>149</v>
      </c>
      <c r="G82" s="152">
        <v>44969</v>
      </c>
      <c r="H82" s="21">
        <v>10000</v>
      </c>
      <c r="I82" s="21">
        <v>0</v>
      </c>
      <c r="J82" s="34">
        <f>SUM(Seznam_dokladu[[#This Row],[Částka bez DPH]:[DPH]])</f>
        <v>10000</v>
      </c>
      <c r="K82" s="34"/>
      <c r="L82" s="57">
        <v>10000</v>
      </c>
      <c r="M82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2" s="130"/>
    </row>
    <row r="83" spans="1:14" x14ac:dyDescent="0.25">
      <c r="A83" s="32">
        <f t="shared" si="0"/>
        <v>54</v>
      </c>
      <c r="B83" s="24"/>
      <c r="C83" s="24" t="s">
        <v>325</v>
      </c>
      <c r="D83" s="31" t="s">
        <v>265</v>
      </c>
      <c r="E83" s="24" t="s">
        <v>306</v>
      </c>
      <c r="F83" s="25" t="s">
        <v>149</v>
      </c>
      <c r="G83" s="152">
        <v>44970</v>
      </c>
      <c r="H83" s="21">
        <v>900</v>
      </c>
      <c r="I83" s="21">
        <v>0</v>
      </c>
      <c r="J83" s="34">
        <f>SUM(Seznam_dokladu[[#This Row],[Částka bez DPH]:[DPH]])</f>
        <v>900</v>
      </c>
      <c r="K83" s="34"/>
      <c r="L83" s="57">
        <v>900</v>
      </c>
      <c r="M83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3" s="130"/>
    </row>
    <row r="84" spans="1:14" x14ac:dyDescent="0.25">
      <c r="A84" s="32">
        <f t="shared" si="0"/>
        <v>55</v>
      </c>
      <c r="B84" s="24"/>
      <c r="C84" s="24" t="s">
        <v>325</v>
      </c>
      <c r="D84" s="31" t="s">
        <v>267</v>
      </c>
      <c r="E84" s="24" t="s">
        <v>307</v>
      </c>
      <c r="F84" s="25" t="s">
        <v>149</v>
      </c>
      <c r="G84" s="152">
        <v>44970</v>
      </c>
      <c r="H84" s="21">
        <v>2480</v>
      </c>
      <c r="I84" s="21">
        <v>0</v>
      </c>
      <c r="J84" s="34">
        <f>SUM(Seznam_dokladu[[#This Row],[Částka bez DPH]:[DPH]])</f>
        <v>2480</v>
      </c>
      <c r="K84" s="34"/>
      <c r="L84" s="57">
        <v>2480</v>
      </c>
      <c r="M84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4" s="130"/>
    </row>
    <row r="85" spans="1:14" x14ac:dyDescent="0.25">
      <c r="A85" s="32">
        <f t="shared" si="0"/>
        <v>56</v>
      </c>
      <c r="B85" s="24"/>
      <c r="C85" s="24" t="s">
        <v>325</v>
      </c>
      <c r="D85" s="31" t="s">
        <v>263</v>
      </c>
      <c r="E85" s="24" t="s">
        <v>308</v>
      </c>
      <c r="F85" s="25" t="s">
        <v>149</v>
      </c>
      <c r="G85" s="152">
        <v>44997</v>
      </c>
      <c r="H85" s="21">
        <v>10000</v>
      </c>
      <c r="I85" s="21">
        <v>0</v>
      </c>
      <c r="J85" s="34">
        <f>SUM(Seznam_dokladu[[#This Row],[Částka bez DPH]:[DPH]])</f>
        <v>10000</v>
      </c>
      <c r="K85" s="34"/>
      <c r="L85" s="57">
        <v>10000</v>
      </c>
      <c r="M85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5" s="130"/>
    </row>
    <row r="86" spans="1:14" x14ac:dyDescent="0.25">
      <c r="A86" s="32">
        <f t="shared" si="0"/>
        <v>57</v>
      </c>
      <c r="B86" s="24"/>
      <c r="C86" s="24" t="s">
        <v>325</v>
      </c>
      <c r="D86" s="31" t="s">
        <v>265</v>
      </c>
      <c r="E86" s="24" t="s">
        <v>309</v>
      </c>
      <c r="F86" s="25" t="s">
        <v>149</v>
      </c>
      <c r="G86" s="152">
        <v>44998</v>
      </c>
      <c r="H86" s="21">
        <v>900</v>
      </c>
      <c r="I86" s="21">
        <v>0</v>
      </c>
      <c r="J86" s="34">
        <f>SUM(Seznam_dokladu[[#This Row],[Částka bez DPH]:[DPH]])</f>
        <v>900</v>
      </c>
      <c r="K86" s="34"/>
      <c r="L86" s="57">
        <v>900</v>
      </c>
      <c r="M86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6" s="130"/>
    </row>
    <row r="87" spans="1:14" x14ac:dyDescent="0.25">
      <c r="A87" s="32">
        <f t="shared" si="0"/>
        <v>58</v>
      </c>
      <c r="B87" s="24"/>
      <c r="C87" s="24" t="s">
        <v>325</v>
      </c>
      <c r="D87" s="31" t="s">
        <v>267</v>
      </c>
      <c r="E87" s="24" t="s">
        <v>310</v>
      </c>
      <c r="F87" s="25" t="s">
        <v>149</v>
      </c>
      <c r="G87" s="152">
        <v>44998</v>
      </c>
      <c r="H87" s="21">
        <v>2480</v>
      </c>
      <c r="I87" s="21">
        <v>0</v>
      </c>
      <c r="J87" s="34">
        <f>SUM(Seznam_dokladu[[#This Row],[Částka bez DPH]:[DPH]])</f>
        <v>2480</v>
      </c>
      <c r="K87" s="34"/>
      <c r="L87" s="57">
        <v>2480</v>
      </c>
      <c r="M87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7" s="130"/>
    </row>
    <row r="88" spans="1:14" x14ac:dyDescent="0.25">
      <c r="A88" s="32">
        <f t="shared" si="0"/>
        <v>59</v>
      </c>
      <c r="B88" s="24"/>
      <c r="C88" s="24" t="s">
        <v>325</v>
      </c>
      <c r="D88" s="31" t="s">
        <v>263</v>
      </c>
      <c r="E88" s="24" t="s">
        <v>311</v>
      </c>
      <c r="F88" s="25" t="s">
        <v>149</v>
      </c>
      <c r="G88" s="152">
        <v>45028</v>
      </c>
      <c r="H88" s="21">
        <v>10000</v>
      </c>
      <c r="I88" s="21">
        <v>0</v>
      </c>
      <c r="J88" s="34">
        <f>SUM(Seznam_dokladu[[#This Row],[Částka bez DPH]:[DPH]])</f>
        <v>10000</v>
      </c>
      <c r="K88" s="34"/>
      <c r="L88" s="57">
        <v>10000</v>
      </c>
      <c r="M88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8" s="130"/>
    </row>
    <row r="89" spans="1:14" x14ac:dyDescent="0.25">
      <c r="A89" s="32">
        <f t="shared" si="0"/>
        <v>60</v>
      </c>
      <c r="B89" s="24"/>
      <c r="C89" s="24" t="s">
        <v>325</v>
      </c>
      <c r="D89" s="31" t="s">
        <v>265</v>
      </c>
      <c r="E89" s="24" t="s">
        <v>312</v>
      </c>
      <c r="F89" s="25" t="s">
        <v>149</v>
      </c>
      <c r="G89" s="152">
        <v>45029</v>
      </c>
      <c r="H89" s="21">
        <v>900</v>
      </c>
      <c r="I89" s="21">
        <v>0</v>
      </c>
      <c r="J89" s="34">
        <f>SUM(Seznam_dokladu[[#This Row],[Částka bez DPH]:[DPH]])</f>
        <v>900</v>
      </c>
      <c r="K89" s="34"/>
      <c r="L89" s="57">
        <v>900</v>
      </c>
      <c r="M89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89" s="130"/>
    </row>
    <row r="90" spans="1:14" x14ac:dyDescent="0.25">
      <c r="A90" s="32">
        <f t="shared" si="0"/>
        <v>61</v>
      </c>
      <c r="B90" s="24"/>
      <c r="C90" s="24" t="s">
        <v>325</v>
      </c>
      <c r="D90" s="31" t="s">
        <v>267</v>
      </c>
      <c r="E90" s="24" t="s">
        <v>313</v>
      </c>
      <c r="F90" s="25" t="s">
        <v>149</v>
      </c>
      <c r="G90" s="152">
        <v>45029</v>
      </c>
      <c r="H90" s="21">
        <v>2480</v>
      </c>
      <c r="I90" s="21">
        <v>0</v>
      </c>
      <c r="J90" s="34">
        <f>SUM(Seznam_dokladu[[#This Row],[Částka bez DPH]:[DPH]])</f>
        <v>2480</v>
      </c>
      <c r="K90" s="34"/>
      <c r="L90" s="57">
        <v>2340</v>
      </c>
      <c r="M90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0" s="130"/>
    </row>
    <row r="91" spans="1:14" x14ac:dyDescent="0.25">
      <c r="A91" s="32">
        <f t="shared" si="0"/>
        <v>62</v>
      </c>
      <c r="B91" s="24"/>
      <c r="C91" s="24" t="s">
        <v>325</v>
      </c>
      <c r="D91" s="31" t="s">
        <v>263</v>
      </c>
      <c r="E91" s="24" t="s">
        <v>314</v>
      </c>
      <c r="F91" s="25" t="s">
        <v>149</v>
      </c>
      <c r="G91" s="152">
        <v>45058</v>
      </c>
      <c r="H91" s="21">
        <v>10000</v>
      </c>
      <c r="I91" s="21">
        <v>0</v>
      </c>
      <c r="J91" s="34">
        <f>SUM(Seznam_dokladu[[#This Row],[Částka bez DPH]:[DPH]])</f>
        <v>10000</v>
      </c>
      <c r="K91" s="34"/>
      <c r="L91" s="57">
        <v>10000</v>
      </c>
      <c r="M91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1" s="130"/>
    </row>
    <row r="92" spans="1:14" x14ac:dyDescent="0.25">
      <c r="A92" s="32">
        <f t="shared" si="0"/>
        <v>63</v>
      </c>
      <c r="B92" s="24"/>
      <c r="C92" s="24" t="s">
        <v>325</v>
      </c>
      <c r="D92" s="31" t="s">
        <v>263</v>
      </c>
      <c r="E92" s="24" t="s">
        <v>315</v>
      </c>
      <c r="F92" s="25" t="s">
        <v>149</v>
      </c>
      <c r="G92" s="152">
        <v>45089</v>
      </c>
      <c r="H92" s="21">
        <v>10000</v>
      </c>
      <c r="I92" s="21">
        <v>0</v>
      </c>
      <c r="J92" s="34">
        <f>SUM(Seznam_dokladu[[#This Row],[Částka bez DPH]:[DPH]])</f>
        <v>10000</v>
      </c>
      <c r="K92" s="34"/>
      <c r="L92" s="57">
        <v>10000</v>
      </c>
      <c r="M92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2" s="130"/>
    </row>
    <row r="93" spans="1:14" x14ac:dyDescent="0.25">
      <c r="A93" s="32">
        <f t="shared" si="0"/>
        <v>64</v>
      </c>
      <c r="B93" s="24"/>
      <c r="C93" s="24" t="s">
        <v>325</v>
      </c>
      <c r="D93" s="31" t="s">
        <v>263</v>
      </c>
      <c r="E93" s="24" t="s">
        <v>316</v>
      </c>
      <c r="F93" s="25" t="s">
        <v>149</v>
      </c>
      <c r="G93" s="152">
        <v>45119</v>
      </c>
      <c r="H93" s="21">
        <v>10000</v>
      </c>
      <c r="I93" s="21">
        <v>0</v>
      </c>
      <c r="J93" s="34">
        <f>SUM(Seznam_dokladu[[#This Row],[Částka bez DPH]:[DPH]])</f>
        <v>10000</v>
      </c>
      <c r="K93" s="34"/>
      <c r="L93" s="57">
        <v>10000</v>
      </c>
      <c r="M93" s="144" t="str">
        <f>_xlfn.IFS(Seznam_dokladu[[#This Row],[Hrazeno z dotace 2022]]&gt;Seznam_dokladu[[#This Row],[Částka celkem]],"Chyba - částka hrazená z dotace je vyšší než částka celkem.",Seznam_dokladu[[#This Row],[Hrazeno z dotace 2022]]&gt;Seznam_dokladu[[#This Row],[Částka bez DPH]],"DPH je neuznatelným nákladem, který nelze hradit z dotace.",TRUE," ")</f>
        <v xml:space="preserve"> </v>
      </c>
      <c r="N93" s="130"/>
    </row>
  </sheetData>
  <sheetProtection formatCells="0" formatColumns="0" formatRows="0" insertColumns="0" insertRows="0" insertHyperlinks="0" deleteColumns="0" deleteRows="0" autoFilter="0"/>
  <mergeCells count="33">
    <mergeCell ref="E24:E25"/>
    <mergeCell ref="F24:F25"/>
    <mergeCell ref="G24:G25"/>
    <mergeCell ref="H24:H25"/>
    <mergeCell ref="E26:E27"/>
    <mergeCell ref="F26:F27"/>
    <mergeCell ref="G26:G27"/>
    <mergeCell ref="H26:H27"/>
    <mergeCell ref="E20:E21"/>
    <mergeCell ref="F20:F21"/>
    <mergeCell ref="G20:G21"/>
    <mergeCell ref="H20:H21"/>
    <mergeCell ref="E22:E23"/>
    <mergeCell ref="F22:F23"/>
    <mergeCell ref="G22:G23"/>
    <mergeCell ref="H22:H23"/>
    <mergeCell ref="E13:E14"/>
    <mergeCell ref="F13:F14"/>
    <mergeCell ref="G13:G14"/>
    <mergeCell ref="H13:H14"/>
    <mergeCell ref="E9:E10"/>
    <mergeCell ref="F9:F10"/>
    <mergeCell ref="G9:G10"/>
    <mergeCell ref="H9:H10"/>
    <mergeCell ref="E11:E12"/>
    <mergeCell ref="F11:F12"/>
    <mergeCell ref="G11:G12"/>
    <mergeCell ref="H11:H12"/>
    <mergeCell ref="E2:G2"/>
    <mergeCell ref="E7:E8"/>
    <mergeCell ref="F7:F8"/>
    <mergeCell ref="G7:G8"/>
    <mergeCell ref="H7:H8"/>
  </mergeCells>
  <conditionalFormatting sqref="H9">
    <cfRule type="cellIs" dxfId="67" priority="152" operator="greaterThan">
      <formula>$G$9</formula>
    </cfRule>
  </conditionalFormatting>
  <conditionalFormatting sqref="H11">
    <cfRule type="cellIs" dxfId="66" priority="153" operator="greaterThan">
      <formula>$G$11</formula>
    </cfRule>
  </conditionalFormatting>
  <conditionalFormatting sqref="H13">
    <cfRule type="cellIs" dxfId="65" priority="154" operator="greaterThan">
      <formula>$G$13</formula>
    </cfRule>
  </conditionalFormatting>
  <conditionalFormatting sqref="G4">
    <cfRule type="cellIs" dxfId="64" priority="88" operator="greaterThan">
      <formula>$F$4</formula>
    </cfRule>
  </conditionalFormatting>
  <conditionalFormatting sqref="L30:L93">
    <cfRule type="cellIs" dxfId="63" priority="79" operator="greaterThan">
      <formula>$H30</formula>
    </cfRule>
  </conditionalFormatting>
  <conditionalFormatting sqref="H22">
    <cfRule type="cellIs" dxfId="62" priority="76" operator="greaterThan">
      <formula>$G$22</formula>
    </cfRule>
  </conditionalFormatting>
  <conditionalFormatting sqref="H24">
    <cfRule type="cellIs" dxfId="61" priority="77" operator="greaterThan">
      <formula>$G$24</formula>
    </cfRule>
  </conditionalFormatting>
  <conditionalFormatting sqref="H26">
    <cfRule type="cellIs" dxfId="60" priority="78" operator="greaterThan">
      <formula>$G$26</formula>
    </cfRule>
  </conditionalFormatting>
  <conditionalFormatting sqref="G7:G14 G20:G27">
    <cfRule type="containsText" dxfId="34" priority="56" operator="containsText" text="Vyplňte list 1. Souhrn!">
      <formula>NOT(ISERROR(SEARCH("Vyplňte list 1. Souhrn!",G7)))</formula>
    </cfRule>
  </conditionalFormatting>
  <conditionalFormatting sqref="K30:K93">
    <cfRule type="cellIs" dxfId="59" priority="49" operator="greaterThan">
      <formula>$H30</formula>
    </cfRule>
    <cfRule type="cellIs" dxfId="58" priority="50" operator="greaterThan">
      <formula>$J30</formula>
    </cfRule>
  </conditionalFormatting>
  <conditionalFormatting sqref="F30:F93">
    <cfRule type="expression" dxfId="57" priority="24">
      <formula>"A($J30&gt;0;$F=0)"</formula>
    </cfRule>
    <cfRule type="expression" dxfId="56" priority="54">
      <formula>"A($J30&gt;0;$F=0)"</formula>
    </cfRule>
  </conditionalFormatting>
  <conditionalFormatting sqref="G30:G93">
    <cfRule type="expression" dxfId="55" priority="14">
      <formula>AND($L30&gt;0,$G30&lt;DATEVALUE("1.1.2023"))</formula>
    </cfRule>
    <cfRule type="expression" dxfId="54" priority="15">
      <formula>AND($L30&gt;0,$C30="DPP",$G30&gt;DATEVALUE("31.7.2023"))</formula>
    </cfRule>
    <cfRule type="expression" dxfId="53" priority="16">
      <formula>AND($L30&gt;0,$C30="DPČ",$G30&gt;DATEVALUE("31.7.2023"))</formula>
    </cfRule>
    <cfRule type="expression" dxfId="52" priority="17">
      <formula>AND($L30&gt;0,$F30="IV",$G30&gt;DATEVALUE("31.7.2023"))</formula>
    </cfRule>
    <cfRule type="expression" dxfId="51" priority="18">
      <formula>AND($L30&gt;0,$C30&lt;&gt;"DPP",$C30&lt;&gt;"DPČ",$F30&lt;&gt;"IV",$G30&gt;DATEVALUE("30.6.2023"))</formula>
    </cfRule>
    <cfRule type="expression" dxfId="50" priority="19">
      <formula>AND($K30&gt;0,$C30="DPČ",$G30&gt;DATEVALUE("31.1.2023"))</formula>
    </cfRule>
    <cfRule type="expression" dxfId="49" priority="20">
      <formula>AND($K30&gt;0,$C30="DPP",$G30&gt;DATEVALUE("31.1.2023"))</formula>
    </cfRule>
    <cfRule type="expression" dxfId="48" priority="21">
      <formula>AND($K30&gt;0,$F30="IV",$G30&gt;DATEVALUE("31.1.2023"))</formula>
    </cfRule>
    <cfRule type="expression" dxfId="47" priority="22">
      <formula>AND($K30&gt;0,$C30&lt;&gt;"DPP",$C30&lt;&gt;"DPČ",$F30&lt;&gt;"IV",$G30&gt;DATEVALUE("31.12.2022"))</formula>
    </cfRule>
    <cfRule type="expression" dxfId="46" priority="23">
      <formula>AND($K30&gt;0,$G30&lt;DATEVALUE("1.1.2022"))</formula>
    </cfRule>
  </conditionalFormatting>
  <conditionalFormatting sqref="H7:H8">
    <cfRule type="cellIs" dxfId="45" priority="13" operator="greaterThan">
      <formula>$G$7</formula>
    </cfRule>
  </conditionalFormatting>
  <conditionalFormatting sqref="G17">
    <cfRule type="cellIs" dxfId="44" priority="3" operator="greaterThan">
      <formula>$F$17</formula>
    </cfRule>
  </conditionalFormatting>
  <conditionalFormatting sqref="H20:H21">
    <cfRule type="cellIs" dxfId="43" priority="2" operator="greaterThan">
      <formula>$G$20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notEqual" id="{55A7D338-1FB9-45D6-B42E-AB00320E6D9B}">
            <xm:f>'2. Náklady'!$F$8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H7:H8</xm:sqref>
        </x14:conditionalFormatting>
        <x14:conditionalFormatting xmlns:xm="http://schemas.microsoft.com/office/excel/2006/main">
          <x14:cfRule type="cellIs" priority="11" operator="notEqual" id="{79E03414-C6F2-4079-AEC6-3DC77A6B2079}">
            <xm:f>'2. Náklady'!$F$10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H9:H10</xm:sqref>
        </x14:conditionalFormatting>
        <x14:conditionalFormatting xmlns:xm="http://schemas.microsoft.com/office/excel/2006/main">
          <x14:cfRule type="cellIs" priority="9" operator="notEqual" id="{2148654D-E509-4BFD-9278-EE2202DB4D11}">
            <xm:f>'2. Náklady'!$F$12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H11:H12</xm:sqref>
        </x14:conditionalFormatting>
        <x14:conditionalFormatting xmlns:xm="http://schemas.microsoft.com/office/excel/2006/main">
          <x14:cfRule type="cellIs" priority="8" operator="notEqual" id="{081567B8-B22F-4A4B-A284-2EE5C7E43B35}">
            <xm:f>'2. Náklady'!$F$14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H13:H14</xm:sqref>
        </x14:conditionalFormatting>
        <x14:conditionalFormatting xmlns:xm="http://schemas.microsoft.com/office/excel/2006/main">
          <x14:cfRule type="cellIs" priority="6" operator="notEqual" id="{879323E8-C9A2-47C6-A3B1-5E2443E0F31B}">
            <xm:f>'2. Náklady'!$J$10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H22:H23</xm:sqref>
        </x14:conditionalFormatting>
        <x14:conditionalFormatting xmlns:xm="http://schemas.microsoft.com/office/excel/2006/main">
          <x14:cfRule type="cellIs" priority="5" operator="notEqual" id="{FA4C64EF-CCD1-4819-AD12-470A30773D28}">
            <xm:f>'2. Náklady'!$J$12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H24:H25</xm:sqref>
        </x14:conditionalFormatting>
        <x14:conditionalFormatting xmlns:xm="http://schemas.microsoft.com/office/excel/2006/main">
          <x14:cfRule type="cellIs" priority="4" operator="notEqual" id="{3262727A-8D3C-4F62-A5AB-7FC2E5B2F2CE}">
            <xm:f>'2. Náklady'!$J$14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H26:H27</xm:sqref>
        </x14:conditionalFormatting>
        <x14:conditionalFormatting xmlns:xm="http://schemas.microsoft.com/office/excel/2006/main">
          <x14:cfRule type="cellIs" priority="1" operator="notEqual" id="{789CF29F-59F8-4609-AD72-DD6587AA5BEB}">
            <xm:f>'2. Náklady'!$J$8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H20:H21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7"/>
  <sheetViews>
    <sheetView workbookViewId="0">
      <selection activeCell="A18" sqref="A18"/>
    </sheetView>
  </sheetViews>
  <sheetFormatPr defaultColWidth="9.1796875" defaultRowHeight="14.5" x14ac:dyDescent="0.35"/>
  <cols>
    <col min="1" max="1" width="67.81640625" style="1" customWidth="1"/>
    <col min="2" max="16384" width="9.1796875" style="1"/>
  </cols>
  <sheetData>
    <row r="2" spans="1:1" x14ac:dyDescent="0.35">
      <c r="A2" s="45" t="s">
        <v>4</v>
      </c>
    </row>
    <row r="3" spans="1:1" x14ac:dyDescent="0.35">
      <c r="A3" s="46" t="s">
        <v>5</v>
      </c>
    </row>
    <row r="4" spans="1:1" x14ac:dyDescent="0.35">
      <c r="A4" s="46" t="s">
        <v>6</v>
      </c>
    </row>
    <row r="5" spans="1:1" x14ac:dyDescent="0.35">
      <c r="A5" s="46" t="s">
        <v>7</v>
      </c>
    </row>
    <row r="6" spans="1:1" x14ac:dyDescent="0.35">
      <c r="A6" s="46" t="s">
        <v>8</v>
      </c>
    </row>
    <row r="7" spans="1:1" x14ac:dyDescent="0.35">
      <c r="A7" s="46" t="s">
        <v>9</v>
      </c>
    </row>
    <row r="8" spans="1:1" x14ac:dyDescent="0.35">
      <c r="A8" s="46"/>
    </row>
    <row r="9" spans="1:1" x14ac:dyDescent="0.35">
      <c r="A9" s="46" t="s">
        <v>1</v>
      </c>
    </row>
    <row r="10" spans="1:1" x14ac:dyDescent="0.35">
      <c r="A10" s="46" t="s">
        <v>2</v>
      </c>
    </row>
    <row r="11" spans="1:1" x14ac:dyDescent="0.35">
      <c r="A11" s="46" t="s">
        <v>3</v>
      </c>
    </row>
    <row r="12" spans="1:1" x14ac:dyDescent="0.35">
      <c r="A12" s="46"/>
    </row>
    <row r="13" spans="1:1" x14ac:dyDescent="0.35">
      <c r="A13" s="45" t="s">
        <v>4</v>
      </c>
    </row>
    <row r="14" spans="1:1" x14ac:dyDescent="0.35">
      <c r="A14" s="18" t="s">
        <v>156</v>
      </c>
    </row>
    <row r="15" spans="1:1" x14ac:dyDescent="0.35">
      <c r="A15" s="55" t="s">
        <v>167</v>
      </c>
    </row>
    <row r="16" spans="1:1" x14ac:dyDescent="0.35">
      <c r="A16" s="18" t="s">
        <v>157</v>
      </c>
    </row>
    <row r="17" spans="1:1" x14ac:dyDescent="0.35">
      <c r="A17" s="18"/>
    </row>
  </sheetData>
  <sheetProtection algorithmName="SHA-512" hashValue="efntzbOZWtN/3kVo9halPl29iKmRQBKN5KtkzPC5G5/84ZerurvwHzNNEaEOsh4tUJG5KBiSGWfmUUOchCXJKQ==" saltValue="E8FKfmYhmKo3Mdc113YSig==" spinCount="100000" sheet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1. Souhrn</vt:lpstr>
      <vt:lpstr>2. Náklady</vt:lpstr>
      <vt:lpstr>3. Zdroje</vt:lpstr>
      <vt:lpstr>4. Seznam dokladů</vt:lpstr>
      <vt:lpstr>5. Data</vt:lpstr>
      <vt:lpstr>'2. Náklady'!Názvy_tisku</vt:lpstr>
      <vt:lpstr>'1. Souhrn'!Oblast_tisku</vt:lpstr>
      <vt:lpstr>'2. Náklady'!Oblast_tisku</vt:lpstr>
      <vt:lpstr>'3. Zdroje'!Oblast_tisku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2023-04-20T09:22:30Z</dcterms:modified>
</cp:coreProperties>
</file>